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8680" yWindow="-120" windowWidth="29040" windowHeight="15840" activeTab="1"/>
  </bookViews>
  <sheets>
    <sheet name="Infographic" sheetId="6" r:id="rId1"/>
    <sheet name="OverDrive Statistics" sheetId="1" r:id="rId2"/>
    <sheet name="Simultaneous Use Circ" sheetId="4" r:id="rId3"/>
  </sheets>
  <calcPr calcId="162913"/>
</workbook>
</file>

<file path=xl/calcChain.xml><?xml version="1.0" encoding="utf-8"?>
<calcChain xmlns="http://schemas.openxmlformats.org/spreadsheetml/2006/main">
  <c r="I37" i="6" l="1"/>
  <c r="E37" i="6"/>
  <c r="F26" i="6"/>
  <c r="L23" i="6"/>
  <c r="I23" i="6"/>
  <c r="I13" i="6"/>
  <c r="E23" i="6"/>
  <c r="B23" i="6"/>
  <c r="B13" i="6"/>
  <c r="B59" i="1"/>
  <c r="M35" i="1"/>
  <c r="M30" i="1"/>
  <c r="M34" i="1"/>
  <c r="M29" i="1"/>
  <c r="B57" i="1" l="1"/>
  <c r="B58" i="1"/>
  <c r="L35" i="1"/>
  <c r="L30" i="1"/>
  <c r="L34" i="1"/>
  <c r="L29" i="1"/>
  <c r="K34" i="1" l="1"/>
  <c r="K29" i="1"/>
  <c r="K35" i="1"/>
  <c r="K30" i="1"/>
  <c r="B56" i="1" l="1"/>
  <c r="J35" i="1"/>
  <c r="J30" i="1"/>
  <c r="J34" i="1"/>
  <c r="J29" i="1"/>
  <c r="B55" i="1" l="1"/>
  <c r="I34" i="1"/>
  <c r="I29" i="1"/>
  <c r="I35" i="1"/>
  <c r="I30" i="1"/>
  <c r="B54" i="1" l="1"/>
  <c r="H35" i="1"/>
  <c r="H30" i="1"/>
  <c r="H34" i="1"/>
  <c r="H29" i="1"/>
  <c r="B53" i="1" l="1"/>
  <c r="G34" i="1"/>
  <c r="G29" i="1"/>
  <c r="G35" i="1"/>
  <c r="G30" i="1"/>
  <c r="B52" i="1" l="1"/>
  <c r="F35" i="1"/>
  <c r="F30" i="1"/>
  <c r="F34" i="1"/>
  <c r="F29" i="1"/>
  <c r="B51" i="1" l="1"/>
  <c r="E34" i="1"/>
  <c r="E29" i="1"/>
  <c r="E35" i="1"/>
  <c r="E30" i="1"/>
  <c r="B50" i="1" l="1"/>
  <c r="D35" i="1"/>
  <c r="D30" i="1"/>
  <c r="D38" i="1"/>
  <c r="D34" i="1"/>
  <c r="D29" i="1"/>
  <c r="B49" i="1" l="1"/>
  <c r="C34" i="1"/>
  <c r="C29" i="1"/>
  <c r="C35" i="1"/>
  <c r="C30" i="1"/>
  <c r="E8" i="4" l="1"/>
  <c r="F8" i="4"/>
  <c r="G8" i="4"/>
  <c r="H8" i="4"/>
  <c r="I8" i="4"/>
  <c r="J8" i="4"/>
  <c r="K8" i="4"/>
  <c r="L8" i="4"/>
  <c r="M8" i="4"/>
  <c r="N8" i="4"/>
  <c r="O8" i="4"/>
  <c r="P8" i="4"/>
  <c r="B48" i="1"/>
  <c r="B35" i="1"/>
  <c r="B30" i="1"/>
  <c r="B34" i="1"/>
  <c r="B29" i="1"/>
  <c r="B28" i="1" s="1"/>
  <c r="C28" i="1"/>
  <c r="D28" i="1"/>
  <c r="E28" i="1"/>
  <c r="F28" i="1"/>
  <c r="G28" i="1"/>
  <c r="H28" i="1"/>
  <c r="I28" i="1"/>
  <c r="J28" i="1"/>
  <c r="K28" i="1"/>
  <c r="L28" i="1"/>
  <c r="M28" i="1"/>
  <c r="E33" i="6" l="1"/>
  <c r="N21" i="1"/>
  <c r="C20" i="1"/>
  <c r="D20" i="1"/>
  <c r="E20" i="1"/>
  <c r="F20" i="1"/>
  <c r="G20" i="1"/>
  <c r="H20" i="1"/>
  <c r="I20" i="1"/>
  <c r="J20" i="1"/>
  <c r="K20" i="1"/>
  <c r="L20" i="1"/>
  <c r="M20" i="1"/>
  <c r="B20" i="1"/>
  <c r="E36" i="6" l="1"/>
  <c r="N12" i="1"/>
  <c r="N13" i="1"/>
  <c r="N14" i="1"/>
  <c r="N15" i="1"/>
  <c r="N16" i="1"/>
  <c r="N17" i="1"/>
  <c r="N18" i="1"/>
  <c r="N19" i="1"/>
  <c r="N11" i="1"/>
  <c r="N8" i="1"/>
  <c r="N9" i="1"/>
  <c r="N7" i="1"/>
  <c r="N5" i="1"/>
  <c r="N4" i="1"/>
  <c r="Q7" i="4" l="1"/>
  <c r="Q6" i="4"/>
  <c r="Q3" i="4"/>
  <c r="Q8" i="4" l="1"/>
  <c r="B58" i="6" s="1"/>
  <c r="F3" i="1" l="1"/>
  <c r="I21" i="6" l="1"/>
  <c r="C37" i="1"/>
  <c r="B37" i="1"/>
  <c r="C33" i="1"/>
  <c r="B22" i="6"/>
  <c r="C6" i="1"/>
  <c r="B6" i="1"/>
  <c r="D6" i="1"/>
  <c r="E6" i="1"/>
  <c r="F6" i="1"/>
  <c r="G6" i="1"/>
  <c r="H6" i="1"/>
  <c r="I6" i="1"/>
  <c r="J6" i="1"/>
  <c r="K6" i="1"/>
  <c r="L6" i="1"/>
  <c r="M6" i="1"/>
  <c r="I12" i="6" s="1"/>
  <c r="E37" i="1"/>
  <c r="F37" i="1"/>
  <c r="G37" i="1"/>
  <c r="H37" i="1"/>
  <c r="I37" i="1"/>
  <c r="J37" i="1"/>
  <c r="K37" i="1"/>
  <c r="L37" i="1"/>
  <c r="M37" i="1"/>
  <c r="D37" i="1"/>
  <c r="D33" i="1"/>
  <c r="E33" i="1"/>
  <c r="F33" i="1"/>
  <c r="G33" i="1"/>
  <c r="H33" i="1"/>
  <c r="I33" i="1"/>
  <c r="J33" i="1"/>
  <c r="K33" i="1"/>
  <c r="L33" i="1"/>
  <c r="B33" i="1"/>
  <c r="M33" i="1"/>
  <c r="C10" i="1"/>
  <c r="D10" i="1"/>
  <c r="E10" i="1"/>
  <c r="F10" i="1"/>
  <c r="G10" i="1"/>
  <c r="H10" i="1"/>
  <c r="I10" i="1"/>
  <c r="J10" i="1"/>
  <c r="K10" i="1"/>
  <c r="L10" i="1"/>
  <c r="M10" i="1"/>
  <c r="B12" i="6" s="1"/>
  <c r="B10" i="1"/>
  <c r="C3" i="1"/>
  <c r="D3" i="1"/>
  <c r="E3" i="1"/>
  <c r="G3" i="1"/>
  <c r="H3" i="1"/>
  <c r="H22" i="1" s="1"/>
  <c r="I3" i="1"/>
  <c r="I22" i="1" s="1"/>
  <c r="J3" i="1"/>
  <c r="K3" i="1"/>
  <c r="L3" i="1"/>
  <c r="M3" i="1"/>
  <c r="B3" i="1"/>
  <c r="M22" i="1" l="1"/>
  <c r="C22" i="1"/>
  <c r="L22" i="1"/>
  <c r="K22" i="1"/>
  <c r="B22" i="1"/>
  <c r="J22" i="1"/>
  <c r="F22" i="1"/>
  <c r="G22" i="1"/>
  <c r="E22" i="1"/>
  <c r="D22" i="1"/>
  <c r="N6" i="1"/>
  <c r="N10" i="1"/>
  <c r="I22" i="6"/>
  <c r="B21" i="6"/>
  <c r="N3" i="1"/>
  <c r="N20" i="1" l="1"/>
  <c r="N22" i="1" s="1"/>
  <c r="B8" i="6" s="1"/>
</calcChain>
</file>

<file path=xl/sharedStrings.xml><?xml version="1.0" encoding="utf-8"?>
<sst xmlns="http://schemas.openxmlformats.org/spreadsheetml/2006/main" count="150" uniqueCount="93">
  <si>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</si>
  <si>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</si>
  <si>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</si>
  <si>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</si>
  <si>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</si>
  <si>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</si>
  <si>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</si>
  <si>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</si>
  <si>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</si>
  <si>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</si>
  <si>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</si>
  <si>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</si>
  <si>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AudioBooks</t>
  </si>
  <si>
    <t>MP3 Audiobook</t>
  </si>
  <si>
    <t>Total eBooks</t>
  </si>
  <si>
    <t>Adobe PDF</t>
  </si>
  <si>
    <t>Adobe EPUB</t>
  </si>
  <si>
    <t>Open PDF</t>
  </si>
  <si>
    <t>Open EPUB</t>
  </si>
  <si>
    <t>Kindle Book</t>
  </si>
  <si>
    <t>Checkouts Grand Total</t>
  </si>
  <si>
    <t>Audiobook</t>
  </si>
  <si>
    <t>eBook</t>
  </si>
  <si>
    <t>Video</t>
  </si>
  <si>
    <t>Video Checked Out but Never Downloaded</t>
  </si>
  <si>
    <t>Total Video</t>
  </si>
  <si>
    <t>Streaming Video</t>
  </si>
  <si>
    <t>OverDrive Read</t>
  </si>
  <si>
    <t>OverDrive Listen</t>
  </si>
  <si>
    <t>MediaDo Reader</t>
  </si>
  <si>
    <t>Average Waiting Period (as of…)</t>
  </si>
  <si>
    <t>Holds by Format (as of…)</t>
  </si>
  <si>
    <t>Kobo eBook</t>
  </si>
  <si>
    <t>All Holds Since Purchase (as of…)</t>
  </si>
  <si>
    <t>WISCONSIN'S DIGITAL LIBRARY</t>
  </si>
  <si>
    <t>Audiobooks</t>
  </si>
  <si>
    <t>TOTAL TITLES</t>
  </si>
  <si>
    <t>TOTAL COPIES</t>
  </si>
  <si>
    <t>eBooks</t>
  </si>
  <si>
    <t>Circ through 2016</t>
  </si>
  <si>
    <t>eBooks Checked Out but Never Downloaded*</t>
  </si>
  <si>
    <t>Audiobooks Checked Out but Never Downloaded*</t>
  </si>
  <si>
    <t>counting each format of a title only once - exclude weeded titles, include preorders</t>
  </si>
  <si>
    <t>ADVANTAGE PLUS SHARED (copies)</t>
  </si>
  <si>
    <t>Collection</t>
  </si>
  <si>
    <t>Purchased</t>
  </si>
  <si>
    <t>Expires</t>
  </si>
  <si>
    <t>Order ID</t>
  </si>
  <si>
    <t>25 Tantor Media Titles</t>
  </si>
  <si>
    <t>25 Blackstone Titles</t>
  </si>
  <si>
    <t>50 Tantor Media Titles</t>
  </si>
  <si>
    <t>wils-MAX-20181114-132323-1279</t>
  </si>
  <si>
    <t>wils-MAX-20181207-090409-1279</t>
  </si>
  <si>
    <t>wils-MAX-20181207-084635-1279</t>
  </si>
  <si>
    <t>wils-MAX-20181227-160606-1279</t>
  </si>
  <si>
    <t>Current</t>
  </si>
  <si>
    <t>OverDrive</t>
  </si>
  <si>
    <t>Active Holds</t>
  </si>
  <si>
    <t>ebooks</t>
  </si>
  <si>
    <t>non-circulated</t>
  </si>
  <si>
    <t>not circulated</t>
  </si>
  <si>
    <t>circulated</t>
  </si>
  <si>
    <t>owned</t>
  </si>
  <si>
    <t>Titles Circulated by Month</t>
  </si>
  <si>
    <t xml:space="preserve">May </t>
  </si>
  <si>
    <t>BiblioBoard + Indie Author Project</t>
  </si>
  <si>
    <t>Simultaneous Use</t>
  </si>
  <si>
    <t>TOTALS</t>
  </si>
  <si>
    <t>Checkouts YTD</t>
  </si>
  <si>
    <t>Checkouts This Month</t>
  </si>
  <si>
    <t>Total Magazines</t>
  </si>
  <si>
    <t>OverDrive Magazine</t>
  </si>
  <si>
    <t>Magazines</t>
  </si>
  <si>
    <t>Magazine</t>
  </si>
  <si>
    <t>magazines</t>
  </si>
  <si>
    <t>Circulation Activity by Format by Month 2022 (includes circulation of titles and copies purchased outside of the Consortium by individual libraries and systems)</t>
  </si>
  <si>
    <t>2022 Total</t>
  </si>
  <si>
    <t>Inception through January 31, 2022</t>
  </si>
  <si>
    <t>Inception through February 29, 2022</t>
  </si>
  <si>
    <t>Inception through March 31, 2022</t>
  </si>
  <si>
    <t>Inception through April 30, 2022</t>
  </si>
  <si>
    <t>Inception through May 31, 2022</t>
  </si>
  <si>
    <t>Inception through June 30, 2022</t>
  </si>
  <si>
    <t>Inception through July 31, 2022</t>
  </si>
  <si>
    <t>Inception through August 31, 2022</t>
  </si>
  <si>
    <t>Inception through September 30, 2022</t>
  </si>
  <si>
    <t>Inception through October 31, 2022</t>
  </si>
  <si>
    <t>Inception through November 30, 2022</t>
  </si>
  <si>
    <t>Inception through December 31, 2022</t>
  </si>
  <si>
    <t>Patrons with Checkouts 2022 (avg/day)</t>
  </si>
  <si>
    <t>Purchased Titles and Copies through 2022 (includes Consortium titles and copies only)</t>
  </si>
  <si>
    <t>2022 Simultaneous Use Circulation</t>
  </si>
  <si>
    <t>December 2022 Year to Date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</si>
</sst>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Verdana"/>
      <family val="2"/>
    </font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60"/>
      <color theme="1"/>
      <name val="Calibri"/>
      <family val="2"/>
      <scheme val="minor"/>
    </font>
    <font>
      <sz val="26"/>
      <color theme="1"/>
      <name val="Georgia"/>
      <family val="1"/>
    </font>
    <font>
      <sz val="36"/>
      <color theme="1"/>
      <name val="Georgia"/>
      <family val="1"/>
    </font>
    <font>
      <b/>
      <sz val="3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8"/>
      <color theme="1"/>
      <name val="Georgia"/>
      <family val="1"/>
    </font>
    <font>
      <u/>
      <sz val="18"/>
      <color theme="1"/>
      <name val="Archer Light"/>
      <family val="3"/>
    </font>
    <font>
      <sz val="16"/>
      <color theme="1"/>
      <name val="Georgia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1">
    <xf numFmtId="0" fontId="0" fillId="0" borderId="0" xfId="0"/>
    <xf numFmtId="0" fontId="1" fillId="0" borderId="4" xfId="0" applyFont="1" applyBorder="1"/>
    <xf numFmtId="0" fontId="1" fillId="0" borderId="0" xfId="0" applyFont="1"/>
    <xf numFmtId="3" fontId="1" fillId="0" borderId="0" xfId="0" applyNumberFormat="1" applyFont="1"/>
    <xf numFmtId="3" fontId="1" fillId="0" borderId="5" xfId="0" applyNumberFormat="1" applyFont="1" applyBorder="1"/>
    <xf numFmtId="0" fontId="0" fillId="2" borderId="4" xfId="0" applyFill="1" applyBorder="1" applyAlignment="1">
      <alignment horizontal="right"/>
    </xf>
    <xf numFmtId="3" fontId="0" fillId="2" borderId="0" xfId="0" applyNumberFormat="1" applyFill="1"/>
    <xf numFmtId="0" fontId="1" fillId="0" borderId="6" xfId="0" applyFont="1" applyBorder="1"/>
    <xf numFmtId="3" fontId="1" fillId="0" borderId="7" xfId="0" applyNumberFormat="1" applyFont="1" applyBorder="1"/>
    <xf numFmtId="0" fontId="3" fillId="0" borderId="1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5" xfId="0" applyFont="1" applyBorder="1" applyAlignment="1">
      <alignment horizontal="center"/>
    </xf>
    <xf numFmtId="3" fontId="0" fillId="2" borderId="5" xfId="0" applyNumberFormat="1" applyFill="1" applyBorder="1"/>
    <xf numFmtId="0" fontId="0" fillId="0" borderId="3" xfId="0" applyBorder="1"/>
    <xf numFmtId="3" fontId="0" fillId="0" borderId="0" xfId="0" applyNumberFormat="1"/>
    <xf numFmtId="0" fontId="0" fillId="2" borderId="0" xfId="0" applyFill="1"/>
    <xf numFmtId="3" fontId="0" fillId="0" borderId="5" xfId="0" applyNumberFormat="1" applyBorder="1"/>
    <xf numFmtId="3" fontId="1" fillId="0" borderId="8" xfId="0" applyNumberFormat="1" applyFont="1" applyBorder="1"/>
    <xf numFmtId="14" fontId="0" fillId="0" borderId="4" xfId="0" applyNumberFormat="1" applyBorder="1"/>
    <xf numFmtId="14" fontId="0" fillId="0" borderId="6" xfId="0" applyNumberFormat="1" applyBorder="1"/>
    <xf numFmtId="0" fontId="2" fillId="0" borderId="1" xfId="0" applyFont="1" applyBorder="1"/>
    <xf numFmtId="14" fontId="1" fillId="0" borderId="2" xfId="0" applyNumberFormat="1" applyFont="1" applyBorder="1"/>
    <xf numFmtId="14" fontId="1" fillId="0" borderId="3" xfId="0" applyNumberFormat="1" applyFont="1" applyBorder="1"/>
    <xf numFmtId="1" fontId="0" fillId="0" borderId="5" xfId="0" applyNumberFormat="1" applyBorder="1"/>
    <xf numFmtId="0" fontId="1" fillId="0" borderId="2" xfId="0" applyFont="1" applyBorder="1"/>
    <xf numFmtId="14" fontId="0" fillId="0" borderId="0" xfId="0" applyNumberFormat="1"/>
    <xf numFmtId="164" fontId="0" fillId="0" borderId="7" xfId="1" applyNumberFormat="1" applyFont="1" applyBorder="1"/>
    <xf numFmtId="164" fontId="0" fillId="0" borderId="0" xfId="1" applyNumberFormat="1" applyFont="1"/>
    <xf numFmtId="164" fontId="0" fillId="0" borderId="0" xfId="0" applyNumberFormat="1"/>
    <xf numFmtId="0" fontId="0" fillId="3" borderId="0" xfId="0" applyFill="1"/>
    <xf numFmtId="0" fontId="0" fillId="4" borderId="0" xfId="0" applyFill="1"/>
    <xf numFmtId="0" fontId="0" fillId="3" borderId="0" xfId="0" applyFill="1" applyAlignment="1">
      <alignment vertical="center"/>
    </xf>
    <xf numFmtId="0" fontId="9" fillId="3" borderId="0" xfId="0" applyFont="1" applyFill="1"/>
    <xf numFmtId="164" fontId="7" fillId="3" borderId="0" xfId="1" applyNumberFormat="1" applyFont="1" applyFill="1" applyAlignment="1">
      <alignment vertical="top"/>
    </xf>
    <xf numFmtId="14" fontId="1" fillId="0" borderId="4" xfId="0" applyNumberFormat="1" applyFont="1" applyBorder="1"/>
    <xf numFmtId="164" fontId="0" fillId="0" borderId="4" xfId="1" applyNumberFormat="1" applyFont="1" applyBorder="1"/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11" fillId="0" borderId="0" xfId="0" applyFont="1"/>
    <xf numFmtId="0" fontId="1" fillId="2" borderId="0" xfId="0" applyFont="1" applyFill="1"/>
    <xf numFmtId="0" fontId="1" fillId="2" borderId="7" xfId="0" applyFont="1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2" fillId="0" borderId="3" xfId="0" applyFont="1" applyBorder="1"/>
    <xf numFmtId="3" fontId="0" fillId="0" borderId="0" xfId="0" applyNumberFormat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4" borderId="4" xfId="0" applyFill="1" applyBorder="1"/>
    <xf numFmtId="3" fontId="5" fillId="4" borderId="0" xfId="0" applyNumberFormat="1" applyFont="1" applyFill="1" applyAlignment="1">
      <alignment vertical="center"/>
    </xf>
    <xf numFmtId="3" fontId="5" fillId="4" borderId="5" xfId="0" applyNumberFormat="1" applyFont="1" applyFill="1" applyBorder="1" applyAlignment="1">
      <alignment vertical="center"/>
    </xf>
    <xf numFmtId="0" fontId="0" fillId="4" borderId="5" xfId="0" applyFill="1" applyBorder="1"/>
    <xf numFmtId="0" fontId="13" fillId="4" borderId="4" xfId="0" applyFont="1" applyFill="1" applyBorder="1"/>
    <xf numFmtId="0" fontId="13" fillId="4" borderId="0" xfId="0" applyFont="1" applyFill="1"/>
    <xf numFmtId="0" fontId="6" fillId="3" borderId="0" xfId="0" applyFont="1" applyFill="1"/>
    <xf numFmtId="3" fontId="6" fillId="4" borderId="4" xfId="0" applyNumberFormat="1" applyFont="1" applyFill="1" applyBorder="1"/>
    <xf numFmtId="3" fontId="6" fillId="4" borderId="0" xfId="0" applyNumberFormat="1" applyFont="1" applyFill="1"/>
    <xf numFmtId="0" fontId="6" fillId="4" borderId="0" xfId="0" applyFont="1" applyFill="1" applyAlignment="1">
      <alignment horizontal="left"/>
    </xf>
    <xf numFmtId="0" fontId="6" fillId="4" borderId="0" xfId="0" applyFont="1" applyFill="1"/>
    <xf numFmtId="0" fontId="6" fillId="4" borderId="5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0" fillId="5" borderId="4" xfId="0" applyFill="1" applyBorder="1"/>
    <xf numFmtId="0" fontId="0" fillId="5" borderId="0" xfId="0" applyFill="1"/>
    <xf numFmtId="164" fontId="7" fillId="5" borderId="0" xfId="1" applyNumberFormat="1" applyFont="1" applyFill="1" applyAlignment="1">
      <alignment vertical="top"/>
    </xf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164" fontId="7" fillId="5" borderId="7" xfId="1" applyNumberFormat="1" applyFont="1" applyFill="1" applyBorder="1" applyAlignment="1">
      <alignment vertical="top"/>
    </xf>
    <xf numFmtId="0" fontId="0" fillId="5" borderId="8" xfId="0" applyFill="1" applyBorder="1"/>
    <xf numFmtId="0" fontId="12" fillId="0" borderId="0" xfId="0" applyFon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14" fontId="0" fillId="0" borderId="7" xfId="0" applyNumberFormat="1" applyBorder="1"/>
    <xf numFmtId="0" fontId="6" fillId="4" borderId="0" xfId="0" applyFont="1" applyFill="1" applyAlignment="1">
      <alignment horizontal="left"/>
    </xf>
    <xf numFmtId="3" fontId="0" fillId="0" borderId="0" xfId="0" applyNumberFormat="1" applyBorder="1"/>
    <xf numFmtId="164" fontId="0" fillId="0" borderId="0" xfId="1" applyNumberFormat="1" applyFont="1" applyBorder="1"/>
    <xf numFmtId="3" fontId="6" fillId="6" borderId="4" xfId="0" applyNumberFormat="1" applyFont="1" applyFill="1" applyBorder="1"/>
    <xf numFmtId="0" fontId="6" fillId="6" borderId="0" xfId="0" applyFont="1" applyFill="1" applyAlignment="1">
      <alignment horizontal="left"/>
    </xf>
    <xf numFmtId="3" fontId="6" fillId="6" borderId="0" xfId="0" applyNumberFormat="1" applyFont="1" applyFill="1"/>
    <xf numFmtId="0" fontId="6" fillId="6" borderId="0" xfId="0" applyFont="1" applyFill="1"/>
    <xf numFmtId="0" fontId="6" fillId="6" borderId="5" xfId="0" applyFont="1" applyFill="1" applyBorder="1"/>
    <xf numFmtId="0" fontId="6" fillId="4" borderId="0" xfId="0" applyFont="1" applyFill="1" applyAlignment="1"/>
    <xf numFmtId="3" fontId="6" fillId="4" borderId="0" xfId="0" applyNumberFormat="1" applyFont="1" applyFill="1" applyBorder="1"/>
    <xf numFmtId="14" fontId="0" fillId="0" borderId="0" xfId="0" applyNumberFormat="1" applyBorder="1"/>
    <xf numFmtId="0" fontId="13" fillId="4" borderId="0" xfId="0" applyFont="1" applyFill="1" applyBorder="1"/>
    <xf numFmtId="3" fontId="13" fillId="4" borderId="0" xfId="0" applyNumberFormat="1" applyFont="1" applyFill="1" applyBorder="1"/>
    <xf numFmtId="0" fontId="0" fillId="0" borderId="0" xfId="0" applyFill="1" applyBorder="1"/>
    <xf numFmtId="164" fontId="0" fillId="0" borderId="8" xfId="1" applyNumberFormat="1" applyFont="1" applyBorder="1"/>
    <xf numFmtId="0" fontId="0" fillId="0" borderId="12" xfId="0" quotePrefix="1" applyBorder="1"/>
    <xf numFmtId="3" fontId="0" fillId="0" borderId="0" xfId="0" applyNumberFormat="1" applyAlignment="1">
      <alignment horizontal="center" vertical="center"/>
    </xf>
    <xf numFmtId="3" fontId="6" fillId="4" borderId="4" xfId="0" applyNumberFormat="1" applyFont="1" applyFill="1" applyBorder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3" fontId="6" fillId="4" borderId="0" xfId="0" applyNumberFormat="1" applyFont="1" applyFill="1" applyAlignment="1">
      <alignment horizontal="right"/>
    </xf>
    <xf numFmtId="0" fontId="6" fillId="4" borderId="5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3" fontId="6" fillId="5" borderId="22" xfId="0" applyNumberFormat="1" applyFont="1" applyFill="1" applyBorder="1" applyAlignment="1">
      <alignment horizontal="right" vertical="center"/>
    </xf>
    <xf numFmtId="3" fontId="6" fillId="5" borderId="23" xfId="0" applyNumberFormat="1" applyFont="1" applyFill="1" applyBorder="1" applyAlignment="1">
      <alignment horizontal="right" vertical="center"/>
    </xf>
    <xf numFmtId="164" fontId="6" fillId="5" borderId="23" xfId="1" applyNumberFormat="1" applyFont="1" applyFill="1" applyBorder="1" applyAlignment="1">
      <alignment horizontal="left" vertical="center"/>
    </xf>
    <xf numFmtId="164" fontId="6" fillId="5" borderId="24" xfId="1" applyNumberFormat="1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12" fillId="4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16" fontId="1" fillId="2" borderId="0" xfId="0" applyNumberFormat="1" applyFont="1" applyFill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3B393"/>
      <color rgb="FF6C7755"/>
      <color rgb="FFFFF8E5"/>
      <color rgb="FFEBB99D"/>
      <color rgb="FF9DA78A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Infographic!$B$20</c:f>
              <c:strCache>
                <c:ptCount val="1"/>
                <c:pt idx="0">
                  <c:v>ebooks</c:v>
                </c:pt>
              </c:strCache>
            </c:strRef>
          </c:tx>
          <c:explosion val="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1AD-456A-9C70-DE7959DAF40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1AD-456A-9C70-DE7959DAF40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1AD-456A-9C70-DE7959DAF40D}"/>
              </c:ext>
            </c:extLst>
          </c:dPt>
          <c:cat>
            <c:strRef>
              <c:f>Infographic!$C$21:$C$23</c:f>
              <c:strCache>
                <c:ptCount val="3"/>
                <c:pt idx="0">
                  <c:v>non-circulated</c:v>
                </c:pt>
                <c:pt idx="2">
                  <c:v>circulated</c:v>
                </c:pt>
              </c:strCache>
            </c:strRef>
          </c:cat>
          <c:val>
            <c:numRef>
              <c:f>Infographic!$B$21:$B$23</c:f>
              <c:numCache>
                <c:formatCode>General</c:formatCode>
                <c:ptCount val="3"/>
                <c:pt idx="0">
                  <c:v>26764</c:v>
                </c:pt>
                <c:pt idx="1">
                  <c:v>0</c:v>
                </c:pt>
                <c:pt idx="2" formatCode="#,##0">
                  <c:v>54805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AD-456A-9C70-DE7959DAF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Infographic!$I$20</c:f>
              <c:strCache>
                <c:ptCount val="1"/>
                <c:pt idx="0">
                  <c:v>Audiobooks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588-4C40-AE93-166C17B9FA65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588-4C40-AE93-166C17B9FA65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588-4C40-AE93-166C17B9FA65}"/>
              </c:ext>
            </c:extLst>
          </c:dPt>
          <c:cat>
            <c:strRef>
              <c:f>Infographic!$J$21:$K$23</c:f>
              <c:strCache>
                <c:ptCount val="3"/>
                <c:pt idx="0">
                  <c:v>not circulated</c:v>
                </c:pt>
                <c:pt idx="2">
                  <c:v>circulated</c:v>
                </c:pt>
              </c:strCache>
            </c:strRef>
          </c:cat>
          <c:val>
            <c:numRef>
              <c:f>Infographic!$I$21:$I$23</c:f>
              <c:numCache>
                <c:formatCode>General</c:formatCode>
                <c:ptCount val="3"/>
                <c:pt idx="0">
                  <c:v>4788</c:v>
                </c:pt>
                <c:pt idx="1">
                  <c:v>0</c:v>
                </c:pt>
                <c:pt idx="2" formatCode="#,##0">
                  <c:v>28765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88-4C40-AE93-166C17B9F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>
                <a:solidFill>
                  <a:sysClr val="windowText" lastClr="000000"/>
                </a:solidFill>
                <a:latin typeface="Georgia" panose="02040502050405020303" pitchFamily="18" charset="0"/>
              </a:rPr>
              <a:t>Average Waiting Period (as of…)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'OverDrive Statistics'!$A$70:$A$81</c:f>
              <c:numCache>
                <c:formatCode>m/d/yyyy</c:formatCode>
                <c:ptCount val="12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44683</c:v>
                </c:pt>
                <c:pt idx="4">
                  <c:v>44714</c:v>
                </c:pt>
                <c:pt idx="5">
                  <c:v>44743</c:v>
                </c:pt>
                <c:pt idx="6">
                  <c:v>44775</c:v>
                </c:pt>
                <c:pt idx="7">
                  <c:v>44805</c:v>
                </c:pt>
                <c:pt idx="8">
                  <c:v>44841</c:v>
                </c:pt>
                <c:pt idx="9">
                  <c:v>44866</c:v>
                </c:pt>
                <c:pt idx="10">
                  <c:v>44896</c:v>
                </c:pt>
                <c:pt idx="11">
                  <c:v>44928</c:v>
                </c:pt>
              </c:numCache>
            </c:numRef>
          </c:cat>
          <c:val>
            <c:numRef>
              <c:f>'OverDrive Statistics'!$B$70:$B$81</c:f>
              <c:numCache>
                <c:formatCode>General</c:formatCode>
                <c:ptCount val="12"/>
                <c:pt idx="0">
                  <c:v>36.380000000000003</c:v>
                </c:pt>
                <c:pt idx="1">
                  <c:v>37.479999999999997</c:v>
                </c:pt>
                <c:pt idx="2">
                  <c:v>39.35</c:v>
                </c:pt>
                <c:pt idx="3">
                  <c:v>40.590000000000003</c:v>
                </c:pt>
                <c:pt idx="4">
                  <c:v>42.85</c:v>
                </c:pt>
                <c:pt idx="5">
                  <c:v>42.77</c:v>
                </c:pt>
                <c:pt idx="6">
                  <c:v>43.65</c:v>
                </c:pt>
                <c:pt idx="7">
                  <c:v>45.36</c:v>
                </c:pt>
                <c:pt idx="8">
                  <c:v>48.91</c:v>
                </c:pt>
                <c:pt idx="9">
                  <c:v>50.87</c:v>
                </c:pt>
                <c:pt idx="10">
                  <c:v>52.75</c:v>
                </c:pt>
                <c:pt idx="11">
                  <c:v>53.61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85-4247-9814-49EF49A6E5D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2765792"/>
        <c:axId val="402767360"/>
      </c:lineChart>
      <c:catAx>
        <c:axId val="4027657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7360"/>
        <c:crosses val="autoZero"/>
        <c:auto val="0"/>
        <c:lblAlgn val="ctr"/>
        <c:lblOffset val="100"/>
        <c:noMultiLvlLbl val="0"/>
      </c:catAx>
      <c:valAx>
        <c:axId val="402767360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8E5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>
                <a:solidFill>
                  <a:sysClr val="windowText" lastClr="000000"/>
                </a:solidFill>
                <a:latin typeface="Georgia" panose="02040502050405020303" pitchFamily="18" charset="0"/>
              </a:rPr>
              <a:t>Patrons with Checkouts (per day)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977443654809965E-2"/>
          <c:y val="0.35156563243400796"/>
          <c:w val="0.91475418820907251"/>
          <c:h val="0.3563059963646092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'OverDrive Statistics'!$A$48:$A$59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'OverDrive Statistics'!$B$48:$B$59</c:f>
              <c:numCache>
                <c:formatCode>0</c:formatCode>
                <c:ptCount val="12"/>
                <c:pt idx="0">
                  <c:v>3652.9354838709678</c:v>
                </c:pt>
                <c:pt idx="1">
                  <c:v>3918</c:v>
                </c:pt>
                <c:pt idx="2">
                  <c:v>3680.1290322580644</c:v>
                </c:pt>
                <c:pt idx="3">
                  <c:v>3761.2333333333331</c:v>
                </c:pt>
                <c:pt idx="4">
                  <c:v>3630.1290322580644</c:v>
                </c:pt>
                <c:pt idx="5">
                  <c:v>3821.2666666666669</c:v>
                </c:pt>
                <c:pt idx="6">
                  <c:v>3831.1612903225805</c:v>
                </c:pt>
                <c:pt idx="7">
                  <c:v>3884.2903225806454</c:v>
                </c:pt>
                <c:pt idx="8">
                  <c:v>3969.8</c:v>
                </c:pt>
                <c:pt idx="9">
                  <c:v>3842</c:v>
                </c:pt>
                <c:pt idx="10">
                  <c:v>3959</c:v>
                </c:pt>
                <c:pt idx="11">
                  <c:v>3874.4193548387098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C0-4DA1-9A5C-259390801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765792"/>
        <c:axId val="402767360"/>
      </c:lineChart>
      <c:catAx>
        <c:axId val="40276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7360"/>
        <c:crosses val="autoZero"/>
        <c:auto val="0"/>
        <c:lblAlgn val="ctr"/>
        <c:lblOffset val="100"/>
        <c:noMultiLvlLbl val="0"/>
      </c:catAx>
      <c:valAx>
        <c:axId val="402767360"/>
        <c:scaling>
          <c:orientation val="minMax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8E5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  <a:latin typeface="Georgia" panose="02040502050405020303" pitchFamily="18" charset="0"/>
              </a:rPr>
              <a:t>Total Simultaneous</a:t>
            </a:r>
            <a:r>
              <a:rPr lang="en-US" baseline="0">
                <a:solidFill>
                  <a:sysClr val="windowText" lastClr="000000"/>
                </a:solidFill>
                <a:latin typeface="Georgia" panose="02040502050405020303" pitchFamily="18" charset="0"/>
              </a:rPr>
              <a:t> Use by </a:t>
            </a:r>
            <a:r>
              <a:rPr lang="en-US">
                <a:solidFill>
                  <a:sysClr val="windowText" lastClr="000000"/>
                </a:solidFill>
                <a:latin typeface="Georgia" panose="02040502050405020303" pitchFamily="18" charset="0"/>
              </a:rPr>
              <a:t>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'Simultaneous Use Circ'!$E$2:$P$2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'Simultaneous Use Circ'!$E$8:$P$8</c:f>
              <c:numCache>
                <c:formatCode>#,##0</c:formatCode>
                <c:ptCount val="12"/>
                <c:pt idx="0">
                  <c:v>16698</c:v>
                </c:pt>
                <c:pt idx="1">
                  <c:v>19568</c:v>
                </c:pt>
                <c:pt idx="2">
                  <c:v>30007</c:v>
                </c:pt>
                <c:pt idx="3">
                  <c:v>27714</c:v>
                </c:pt>
                <c:pt idx="4">
                  <c:v>25624</c:v>
                </c:pt>
                <c:pt idx="5">
                  <c:v>29439</c:v>
                </c:pt>
                <c:pt idx="6">
                  <c:v>28327</c:v>
                </c:pt>
                <c:pt idx="7">
                  <c:v>29837</c:v>
                </c:pt>
                <c:pt idx="8">
                  <c:v>26416</c:v>
                </c:pt>
                <c:pt idx="9">
                  <c:v>25643</c:v>
                </c:pt>
                <c:pt idx="10">
                  <c:v>24737</c:v>
                </c:pt>
                <c:pt idx="11">
                  <c:v>24749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C5-41DD-94E9-28004B949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204728"/>
        <c:axId val="789212272"/>
      </c:lineChart>
      <c:catAx>
        <c:axId val="789204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212272"/>
        <c:crosses val="autoZero"/>
        <c:auto val="1"/>
        <c:lblAlgn val="ctr"/>
        <c:lblOffset val="100"/>
        <c:noMultiLvlLbl val="0"/>
      </c:catAx>
      <c:valAx>
        <c:axId val="78921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204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5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Infographic!$E$32</c:f>
              <c:strCache>
                <c:ptCount val="1"/>
                <c:pt idx="0">
                  <c:v>magazines</c:v>
                </c:pt>
              </c:strCache>
            </c:strRef>
          </c:tx>
          <c:explosion val="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D5A-4C4B-85EC-EABDD061C96D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D5A-4C4B-85EC-EABDD061C9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D5A-4C4B-85EC-EABDD061C9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970-46D0-AA74-B86F38FA32E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970-46D0-AA74-B86F38FA32E2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D5A-4C4B-85EC-EABDD061C96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970-46D0-AA74-B86F38FA32E2}"/>
              </c:ext>
            </c:extLst>
          </c:dPt>
          <c:cat>
            <c:strRef>
              <c:f>Infographic!$F$32:$F$38</c:f>
              <c:strCache>
                <c:ptCount val="6"/>
                <c:pt idx="1">
                  <c:v>non-circulated</c:v>
                </c:pt>
                <c:pt idx="5">
                  <c:v>circulated</c:v>
                </c:pt>
              </c:strCache>
            </c:strRef>
          </c:cat>
          <c:val>
            <c:numRef>
              <c:f>Infographic!$E$32:$E$38</c:f>
              <c:numCache>
                <c:formatCode>#,##0</c:formatCode>
                <c:ptCount val="7"/>
                <c:pt idx="0" formatCode="General">
                  <c:v>0</c:v>
                </c:pt>
                <c:pt idx="1">
                  <c:v>2450</c:v>
                </c:pt>
                <c:pt idx="4" formatCode="General">
                  <c:v>0</c:v>
                </c:pt>
                <c:pt idx="5">
                  <c:v>2147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D5A-4C4B-85EC-EABDD061C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Patrons with Checkouts</a:t>
            </a:r>
            <a:r>
              <a:rPr lang="en-US" sz="1600" baseline="0"/>
              <a:t> by Month (avg/day)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'OverDrive Statistics'!$B$48:$B$59</c:f>
              <c:strCache>
                <c:ptCount val="12"/>
                <c:pt idx="0">
                  <c:v>3653</c:v>
                </c:pt>
                <c:pt idx="1">
                  <c:v>3918</c:v>
                </c:pt>
                <c:pt idx="2">
                  <c:v>3680</c:v>
                </c:pt>
                <c:pt idx="3">
                  <c:v>3761</c:v>
                </c:pt>
                <c:pt idx="4">
                  <c:v>3630</c:v>
                </c:pt>
                <c:pt idx="5">
                  <c:v>3821</c:v>
                </c:pt>
                <c:pt idx="6">
                  <c:v>3831</c:v>
                </c:pt>
                <c:pt idx="7">
                  <c:v>3884</c:v>
                </c:pt>
                <c:pt idx="8">
                  <c:v>3970</c:v>
                </c:pt>
                <c:pt idx="9">
                  <c:v>3842</c:v>
                </c:pt>
                <c:pt idx="10">
                  <c:v>3959</c:v>
                </c:pt>
                <c:pt idx="11">
                  <c:v>3874</c:v>
                </c:pt>
              </c:strCache>
            </c:strRef>
          </c:tx>
          <c:invertIfNegative val="0"/>
          <c:cat>
            <c:strRef>
              <c:f>'OverDrive Statistics'!$A$48:$A$59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'OverDrive Statistics'!$B$48:$B$59</c:f>
              <c:numCache>
                <c:formatCode>0</c:formatCode>
                <c:ptCount val="12"/>
                <c:pt idx="0">
                  <c:v>3652.9354838709678</c:v>
                </c:pt>
                <c:pt idx="1">
                  <c:v>3918</c:v>
                </c:pt>
                <c:pt idx="2">
                  <c:v>3680.1290322580644</c:v>
                </c:pt>
                <c:pt idx="3">
                  <c:v>3761.2333333333331</c:v>
                </c:pt>
                <c:pt idx="4">
                  <c:v>3630.1290322580644</c:v>
                </c:pt>
                <c:pt idx="5">
                  <c:v>3821.2666666666669</c:v>
                </c:pt>
                <c:pt idx="6">
                  <c:v>3831.1612903225805</c:v>
                </c:pt>
                <c:pt idx="7">
                  <c:v>3884.2903225806454</c:v>
                </c:pt>
                <c:pt idx="8">
                  <c:v>3969.8</c:v>
                </c:pt>
                <c:pt idx="9">
                  <c:v>3842</c:v>
                </c:pt>
                <c:pt idx="10">
                  <c:v>3959</c:v>
                </c:pt>
                <c:pt idx="11">
                  <c:v>3874.4193548387098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A-4065-A71A-877C094D7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770496"/>
        <c:axId val="402768144"/>
      </c:barChart>
      <c:catAx>
        <c:axId val="402770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02768144"/>
        <c:crosses val="autoZero"/>
        <c:auto val="1"/>
        <c:lblAlgn val="ctr"/>
        <c:lblOffset val="100"/>
        <c:noMultiLvlLbl val="0"/>
      </c:catAx>
      <c:valAx>
        <c:axId val="402768144"/>
        <c:scaling>
          <c:orientation val="minMax"/>
          <c:min val="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402770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Average Waiting Period (as of…)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'OverDrive Statistics'!$B$69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'OverDrive Statistics'!$A$70:$A$81</c:f>
              <c:numCache>
                <c:formatCode>m/d/yyyy</c:formatCode>
                <c:ptCount val="12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44683</c:v>
                </c:pt>
                <c:pt idx="4">
                  <c:v>44714</c:v>
                </c:pt>
                <c:pt idx="5">
                  <c:v>44743</c:v>
                </c:pt>
                <c:pt idx="6">
                  <c:v>44775</c:v>
                </c:pt>
                <c:pt idx="7">
                  <c:v>44805</c:v>
                </c:pt>
                <c:pt idx="8">
                  <c:v>44841</c:v>
                </c:pt>
                <c:pt idx="9">
                  <c:v>44866</c:v>
                </c:pt>
                <c:pt idx="10">
                  <c:v>44896</c:v>
                </c:pt>
                <c:pt idx="11">
                  <c:v>44928</c:v>
                </c:pt>
              </c:numCache>
            </c:numRef>
          </c:cat>
          <c:val>
            <c:numRef>
              <c:f>'OverDrive Statistics'!$B$70:$B$81</c:f>
              <c:numCache>
                <c:formatCode>General</c:formatCode>
                <c:ptCount val="12"/>
                <c:pt idx="0">
                  <c:v>36.380000000000003</c:v>
                </c:pt>
                <c:pt idx="1">
                  <c:v>37.479999999999997</c:v>
                </c:pt>
                <c:pt idx="2">
                  <c:v>39.35</c:v>
                </c:pt>
                <c:pt idx="3">
                  <c:v>40.590000000000003</c:v>
                </c:pt>
                <c:pt idx="4">
                  <c:v>42.85</c:v>
                </c:pt>
                <c:pt idx="5">
                  <c:v>42.77</c:v>
                </c:pt>
                <c:pt idx="6">
                  <c:v>43.65</c:v>
                </c:pt>
                <c:pt idx="7">
                  <c:v>45.36</c:v>
                </c:pt>
                <c:pt idx="8">
                  <c:v>48.91</c:v>
                </c:pt>
                <c:pt idx="9">
                  <c:v>50.87</c:v>
                </c:pt>
                <c:pt idx="10">
                  <c:v>52.75</c:v>
                </c:pt>
                <c:pt idx="11">
                  <c:v>53.61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B-4708-81CE-7B692AAB1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2765792"/>
        <c:axId val="402767360"/>
      </c:barChart>
      <c:catAx>
        <c:axId val="4027657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7360"/>
        <c:crosses val="autoZero"/>
        <c:auto val="0"/>
        <c:lblAlgn val="ctr"/>
        <c:lblOffset val="100"/>
        <c:noMultiLvlLbl val="0"/>
      </c:catAx>
      <c:valAx>
        <c:axId val="4027673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9122</xdr:colOff>
      <xdr:row>13</xdr:row>
      <xdr:rowOff>17780</xdr:rowOff>
    </xdr:from>
    <xdr:to>
      <xdr:col>6</xdr:col>
      <xdr:colOff>503535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45970</xdr:colOff>
      <xdr:row>13</xdr:row>
      <xdr:rowOff>19685</xdr:rowOff>
    </xdr:from>
    <xdr:to>
      <xdr:col>13</xdr:col>
      <xdr:colOff>481099</xdr:colOff>
      <xdr:row>20</xdr:row>
      <xdr:rowOff>168910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54610</xdr:colOff>
      <xdr:row>39</xdr:row>
      <xdr:rowOff>38101</xdr:rowOff>
    </xdr:from>
    <xdr:to>
      <xdr:col>13</xdr:col>
      <xdr:colOff>473710</xdr:colOff>
      <xdr:row>47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60960</xdr:colOff>
      <xdr:row>47</xdr:row>
      <xdr:rowOff>12700</xdr:rowOff>
    </xdr:from>
    <xdr:to>
      <xdr:col>13</xdr:col>
      <xdr:colOff>482600</xdr:colOff>
      <xdr:row>54</xdr:row>
      <xdr:rowOff>149859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</xdr:colOff>
      <xdr:row>58</xdr:row>
      <xdr:rowOff>20320</xdr:rowOff>
    </xdr:from>
    <xdr:to>
      <xdr:col>13</xdr:col>
      <xdr:colOff>495300</xdr:colOff>
      <xdr:row>64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10562</xdr:colOff>
      <xdr:row>26</xdr:row>
      <xdr:rowOff>16280</xdr:rowOff>
    </xdr:from>
    <xdr:to>
      <xdr:col>10</xdr:col>
      <xdr:colOff>510885</xdr:colOff>
      <xdr:row>34</xdr:row>
      <xdr:rowOff>15818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45</xdr:row>
      <xdr:rowOff>33338</xdr:rowOff>
    </xdr:from>
    <xdr:to>
      <xdr:col>8</xdr:col>
      <xdr:colOff>212725</xdr:colOff>
      <xdr:row>61</xdr:row>
      <xdr:rowOff>7937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403868</xdr:colOff>
      <xdr:row>67</xdr:row>
      <xdr:rowOff>110807</xdr:rowOff>
    </xdr:from>
    <xdr:to>
      <xdr:col>8</xdr:col>
      <xdr:colOff>373388</xdr:colOff>
      <xdr:row>83</xdr:row>
      <xdr:rowOff>44132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zoomScale="110" zoomScaleNormal="110" zoomScaleSheetLayoutView="130" workbookViewId="0"/>
  </sheetViews>
  <sheetFormatPr defaultColWidth="0" defaultRowHeight="13.9" customHeight="1" zeroHeight="1"/>
  <cols>
    <col min="1" max="1" width="1.7109375" style="50" customWidth="1"/>
    <col min="2" max="2" width="9" customWidth="1"/>
    <col min="3" max="7" width="7.7109375" customWidth="1"/>
    <col min="8" max="8" width="1.7109375" customWidth="1"/>
    <col min="9" max="9" width="8.5703125" customWidth="1"/>
    <col min="10" max="14" width="7.7109375" customWidth="1"/>
    <col min="15" max="15" width="1.7109375" style="50" customWidth="1"/>
    <col min="16" max="16384" width="9.140625" hidden="1"/>
  </cols>
  <sheetData>
    <row r="1" spans="1:15" ht="13.9" customHeight="1">
      <c r="A1" s="100"/>
      <c r="B1" s="107" t="s">
        <v>34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  <c r="O1" s="54"/>
    </row>
    <row r="2" spans="1:15" ht="13.9" customHeight="1"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54"/>
    </row>
    <row r="3" spans="1:15" ht="13.9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2"/>
      <c r="O3" s="54"/>
    </row>
    <row r="4" spans="1:15" ht="13.9" customHeight="1">
      <c r="B4" s="113" t="s">
        <v>92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  <c r="O4" s="54"/>
    </row>
    <row r="5" spans="1:15" ht="13.9" customHeight="1"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8"/>
      <c r="O5" s="54"/>
    </row>
    <row r="6" spans="1:15" ht="13.15" customHeight="1">
      <c r="A6" s="55"/>
      <c r="B6" s="119" t="s">
        <v>56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1"/>
      <c r="O6" s="54"/>
    </row>
    <row r="7" spans="1:15" ht="9" customHeight="1" thickBot="1">
      <c r="A7" s="55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4"/>
      <c r="O7" s="54"/>
    </row>
    <row r="8" spans="1:15" ht="10.5" customHeight="1">
      <c r="B8" s="125" t="str">
        <f>TEXT('OverDrive Statistics'!N22,"#,##0") &amp;" Checkouts this Year"</f>
        <v>7,628,351 Checkouts this Year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7"/>
      <c r="O8" s="54"/>
    </row>
    <row r="9" spans="1:15" ht="10.15" customHeight="1">
      <c r="B9" s="125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7"/>
      <c r="O9" s="54"/>
    </row>
    <row r="10" spans="1:15" ht="13.9" customHeight="1">
      <c r="A10" s="55"/>
      <c r="B10" s="128" t="s">
        <v>38</v>
      </c>
      <c r="C10" s="129"/>
      <c r="D10" s="129"/>
      <c r="E10" s="129"/>
      <c r="F10" s="129"/>
      <c r="G10" s="129"/>
      <c r="H10" s="34"/>
      <c r="I10" s="131" t="s">
        <v>35</v>
      </c>
      <c r="J10" s="129"/>
      <c r="K10" s="129"/>
      <c r="L10" s="129"/>
      <c r="M10" s="129"/>
      <c r="N10" s="132"/>
      <c r="O10" s="54"/>
    </row>
    <row r="11" spans="1:15" ht="13.9" customHeight="1">
      <c r="A11" s="55"/>
      <c r="B11" s="130"/>
      <c r="C11" s="129"/>
      <c r="D11" s="129"/>
      <c r="E11" s="129"/>
      <c r="F11" s="129"/>
      <c r="G11" s="129"/>
      <c r="H11" s="34"/>
      <c r="I11" s="129"/>
      <c r="J11" s="129"/>
      <c r="K11" s="129"/>
      <c r="L11" s="129"/>
      <c r="M11" s="129"/>
      <c r="N11" s="132"/>
      <c r="O11" s="54"/>
    </row>
    <row r="12" spans="1:15" ht="13.9" customHeight="1">
      <c r="A12" s="55"/>
      <c r="B12" s="102">
        <f>'OverDrive Statistics'!M10</f>
        <v>313658</v>
      </c>
      <c r="C12" s="103"/>
      <c r="D12" s="103"/>
      <c r="E12" s="104" t="s">
        <v>69</v>
      </c>
      <c r="F12" s="104"/>
      <c r="G12" s="104"/>
      <c r="H12" s="34"/>
      <c r="I12" s="105">
        <f>'OverDrive Statistics'!M6</f>
        <v>281561</v>
      </c>
      <c r="J12" s="103"/>
      <c r="K12" s="103"/>
      <c r="L12" s="104" t="s">
        <v>69</v>
      </c>
      <c r="M12" s="104"/>
      <c r="N12" s="106"/>
      <c r="O12" s="54"/>
    </row>
    <row r="13" spans="1:15" ht="13.9" customHeight="1">
      <c r="A13" s="55"/>
      <c r="B13" s="102">
        <f>'OverDrive Statistics'!M65</f>
        <v>288407</v>
      </c>
      <c r="C13" s="103"/>
      <c r="D13" s="103"/>
      <c r="E13" s="104" t="s">
        <v>57</v>
      </c>
      <c r="F13" s="104"/>
      <c r="G13" s="104"/>
      <c r="H13" s="34"/>
      <c r="I13" s="105">
        <f>'OverDrive Statistics'!M64</f>
        <v>249289</v>
      </c>
      <c r="J13" s="103"/>
      <c r="K13" s="103"/>
      <c r="L13" s="104" t="s">
        <v>57</v>
      </c>
      <c r="M13" s="104"/>
      <c r="N13" s="106"/>
      <c r="O13" s="54"/>
    </row>
    <row r="14" spans="1:15" ht="13.9" customHeight="1">
      <c r="A14" s="55"/>
      <c r="B14" s="56"/>
      <c r="C14" s="35"/>
      <c r="D14" s="35"/>
      <c r="E14" s="35"/>
      <c r="F14" s="35"/>
      <c r="G14" s="35"/>
      <c r="H14" s="34"/>
      <c r="I14" s="35"/>
      <c r="J14" s="57"/>
      <c r="K14" s="57"/>
      <c r="L14" s="57"/>
      <c r="M14" s="57"/>
      <c r="N14" s="58"/>
      <c r="O14" s="54"/>
    </row>
    <row r="15" spans="1:15" ht="13.9" customHeight="1">
      <c r="A15" s="55"/>
      <c r="B15" s="56"/>
      <c r="C15" s="35"/>
      <c r="D15" s="35"/>
      <c r="E15" s="35"/>
      <c r="F15" s="35"/>
      <c r="G15" s="35"/>
      <c r="H15" s="34"/>
      <c r="I15" s="35"/>
      <c r="J15" s="57"/>
      <c r="K15" s="57"/>
      <c r="L15" s="57"/>
      <c r="M15" s="57"/>
      <c r="N15" s="58"/>
      <c r="O15" s="54"/>
    </row>
    <row r="16" spans="1:15" ht="13.9" customHeight="1">
      <c r="A16" s="55"/>
      <c r="B16" s="56"/>
      <c r="C16" s="35"/>
      <c r="D16" s="35"/>
      <c r="E16" s="35"/>
      <c r="F16" s="35"/>
      <c r="G16" s="35"/>
      <c r="H16" s="34"/>
      <c r="I16" s="35"/>
      <c r="J16" s="35"/>
      <c r="K16" s="35"/>
      <c r="L16" s="35"/>
      <c r="M16" s="35"/>
      <c r="N16" s="59"/>
      <c r="O16" s="54"/>
    </row>
    <row r="17" spans="1:15" s="50" customFormat="1" ht="13.9" customHeight="1">
      <c r="A17" s="55"/>
      <c r="B17" s="56"/>
      <c r="C17" s="35"/>
      <c r="D17" s="35"/>
      <c r="E17" s="35"/>
      <c r="F17" s="35"/>
      <c r="G17" s="35"/>
      <c r="H17" s="34"/>
      <c r="I17" s="35"/>
      <c r="J17" s="35"/>
      <c r="K17" s="35"/>
      <c r="L17" s="35"/>
      <c r="M17" s="35"/>
      <c r="N17" s="59"/>
      <c r="O17" s="54"/>
    </row>
    <row r="18" spans="1:15" s="50" customFormat="1" ht="13.9" customHeight="1">
      <c r="A18" s="55"/>
      <c r="B18" s="56"/>
      <c r="C18" s="35"/>
      <c r="D18" s="35"/>
      <c r="E18" s="35"/>
      <c r="F18" s="35"/>
      <c r="G18" s="35"/>
      <c r="H18" s="34"/>
      <c r="I18" s="35"/>
      <c r="J18" s="35"/>
      <c r="K18" s="35"/>
      <c r="L18" s="35"/>
      <c r="M18" s="35"/>
      <c r="N18" s="59"/>
      <c r="O18" s="54"/>
    </row>
    <row r="19" spans="1:15" s="50" customFormat="1" ht="13.9" customHeight="1">
      <c r="A19" s="55"/>
      <c r="B19" s="56"/>
      <c r="C19" s="35"/>
      <c r="D19" s="35"/>
      <c r="E19" s="35"/>
      <c r="F19" s="35"/>
      <c r="G19" s="35"/>
      <c r="H19" s="34"/>
      <c r="I19" s="35"/>
      <c r="J19" s="35"/>
      <c r="K19" s="35"/>
      <c r="L19" s="35"/>
      <c r="M19" s="35"/>
      <c r="N19" s="59"/>
      <c r="O19" s="54"/>
    </row>
    <row r="20" spans="1:15" s="50" customFormat="1" ht="13.9" customHeight="1">
      <c r="A20" s="55"/>
      <c r="B20" s="60" t="s">
        <v>58</v>
      </c>
      <c r="C20" s="61"/>
      <c r="D20" s="35"/>
      <c r="E20" s="35"/>
      <c r="F20" s="35"/>
      <c r="G20" s="35"/>
      <c r="H20" s="34"/>
      <c r="I20" s="61" t="s">
        <v>35</v>
      </c>
      <c r="J20" s="61"/>
      <c r="K20" s="35"/>
      <c r="L20" s="35"/>
      <c r="M20" s="35"/>
      <c r="N20" s="59"/>
      <c r="O20" s="54"/>
    </row>
    <row r="21" spans="1:15" s="50" customFormat="1" ht="13.9" customHeight="1">
      <c r="A21" s="55"/>
      <c r="B21" s="60">
        <f>E23-B23</f>
        <v>26764</v>
      </c>
      <c r="C21" s="61" t="s">
        <v>59</v>
      </c>
      <c r="D21" s="35"/>
      <c r="E21" s="35"/>
      <c r="F21" s="35"/>
      <c r="G21" s="35"/>
      <c r="H21" s="34"/>
      <c r="I21" s="61">
        <f>L23-I23</f>
        <v>4788</v>
      </c>
      <c r="J21" s="61" t="s">
        <v>60</v>
      </c>
      <c r="K21" s="35"/>
      <c r="L21" s="35"/>
      <c r="M21" s="35"/>
      <c r="N21" s="59"/>
      <c r="O21" s="54"/>
    </row>
    <row r="22" spans="1:15" s="50" customFormat="1" ht="13.9" customHeight="1">
      <c r="A22" s="55"/>
      <c r="B22" s="136" t="str">
        <f>ROUND(B23/E23,3)*100 &amp; "% of titles circulated"</f>
        <v>67.2% of titles circulated</v>
      </c>
      <c r="C22" s="137"/>
      <c r="D22" s="137"/>
      <c r="E22" s="137"/>
      <c r="F22" s="137"/>
      <c r="G22" s="137"/>
      <c r="H22" s="62"/>
      <c r="I22" s="137" t="str">
        <f>ROUND(I23/L23,3)*100 &amp; "% of titles circulated"</f>
        <v>85.7% of titles circulated</v>
      </c>
      <c r="J22" s="137"/>
      <c r="K22" s="137"/>
      <c r="L22" s="137"/>
      <c r="M22" s="137"/>
      <c r="N22" s="138"/>
      <c r="O22" s="54"/>
    </row>
    <row r="23" spans="1:15" s="50" customFormat="1" ht="13.9" customHeight="1">
      <c r="A23" s="55"/>
      <c r="B23" s="63">
        <f>'OverDrive Statistics'!M87</f>
        <v>54805</v>
      </c>
      <c r="C23" s="104" t="s">
        <v>61</v>
      </c>
      <c r="D23" s="104"/>
      <c r="E23" s="64">
        <f>'OverDrive Statistics'!M30</f>
        <v>81569</v>
      </c>
      <c r="F23" s="65" t="s">
        <v>62</v>
      </c>
      <c r="G23" s="65"/>
      <c r="H23" s="62"/>
      <c r="I23" s="64">
        <f>'OverDrive Statistics'!M86</f>
        <v>28765</v>
      </c>
      <c r="J23" s="66" t="s">
        <v>61</v>
      </c>
      <c r="K23" s="66"/>
      <c r="L23" s="64">
        <f>'OverDrive Statistics'!M29</f>
        <v>33553</v>
      </c>
      <c r="M23" s="66" t="s">
        <v>62</v>
      </c>
      <c r="N23" s="67"/>
      <c r="O23" s="54"/>
    </row>
    <row r="24" spans="1:15" s="50" customFormat="1" ht="6.75" customHeight="1">
      <c r="A24" s="55"/>
      <c r="B24" s="88"/>
      <c r="C24" s="89"/>
      <c r="D24" s="89"/>
      <c r="E24" s="90"/>
      <c r="F24" s="89"/>
      <c r="G24" s="89"/>
      <c r="H24" s="91"/>
      <c r="I24" s="90"/>
      <c r="J24" s="91"/>
      <c r="K24" s="91"/>
      <c r="L24" s="90"/>
      <c r="M24" s="91"/>
      <c r="N24" s="92"/>
      <c r="O24" s="54"/>
    </row>
    <row r="25" spans="1:15" s="50" customFormat="1" ht="23.25" customHeight="1">
      <c r="A25" s="55"/>
      <c r="B25" s="88"/>
      <c r="C25" s="89"/>
      <c r="D25" s="89"/>
      <c r="E25" s="64"/>
      <c r="F25" s="85"/>
      <c r="G25" s="149" t="s">
        <v>72</v>
      </c>
      <c r="H25" s="150"/>
      <c r="I25" s="150"/>
      <c r="J25" s="66"/>
      <c r="K25" s="66"/>
      <c r="L25" s="90"/>
      <c r="M25" s="91"/>
      <c r="N25" s="92"/>
      <c r="O25" s="54"/>
    </row>
    <row r="26" spans="1:15" s="50" customFormat="1" ht="13.9" customHeight="1">
      <c r="A26" s="55"/>
      <c r="B26" s="88"/>
      <c r="C26" s="89"/>
      <c r="D26" s="89"/>
      <c r="E26" s="64"/>
      <c r="F26" s="151">
        <f>'OverDrive Statistics'!M20</f>
        <v>29478</v>
      </c>
      <c r="G26" s="151"/>
      <c r="H26" s="151"/>
      <c r="I26" s="104" t="s">
        <v>69</v>
      </c>
      <c r="J26" s="104"/>
      <c r="K26" s="104"/>
      <c r="L26" s="90"/>
      <c r="M26" s="91"/>
      <c r="N26" s="92"/>
      <c r="O26" s="54"/>
    </row>
    <row r="27" spans="1:15" s="50" customFormat="1" ht="13.9" customHeight="1">
      <c r="A27" s="55"/>
      <c r="B27" s="88"/>
      <c r="C27" s="89"/>
      <c r="D27" s="89"/>
      <c r="E27" s="64"/>
      <c r="F27" s="85"/>
      <c r="G27" s="85"/>
      <c r="H27" s="66"/>
      <c r="I27" s="64"/>
      <c r="J27" s="66"/>
      <c r="K27" s="66"/>
      <c r="L27" s="90"/>
      <c r="M27" s="91"/>
      <c r="N27" s="92"/>
      <c r="O27" s="54"/>
    </row>
    <row r="28" spans="1:15" s="50" customFormat="1" ht="13.9" customHeight="1">
      <c r="A28" s="55"/>
      <c r="B28" s="88"/>
      <c r="C28" s="89"/>
      <c r="D28" s="89"/>
      <c r="E28" s="64"/>
      <c r="F28" s="85"/>
      <c r="G28" s="85"/>
      <c r="H28" s="66"/>
      <c r="I28" s="64"/>
      <c r="J28" s="66"/>
      <c r="K28" s="66"/>
      <c r="L28" s="90"/>
      <c r="M28" s="91"/>
      <c r="N28" s="92"/>
      <c r="O28" s="54"/>
    </row>
    <row r="29" spans="1:15" s="50" customFormat="1" ht="13.9" customHeight="1">
      <c r="A29" s="55"/>
      <c r="B29" s="88"/>
      <c r="C29" s="89"/>
      <c r="D29" s="89"/>
      <c r="E29" s="64"/>
      <c r="F29" s="85"/>
      <c r="G29" s="85"/>
      <c r="H29" s="66"/>
      <c r="I29" s="64"/>
      <c r="J29" s="66"/>
      <c r="K29" s="66"/>
      <c r="L29" s="90"/>
      <c r="M29" s="91"/>
      <c r="N29" s="92"/>
      <c r="O29" s="54"/>
    </row>
    <row r="30" spans="1:15" s="50" customFormat="1" ht="13.9" customHeight="1">
      <c r="A30" s="55"/>
      <c r="B30" s="88"/>
      <c r="C30" s="89"/>
      <c r="D30" s="89"/>
      <c r="E30" s="64"/>
      <c r="F30" s="85"/>
      <c r="G30" s="85"/>
      <c r="H30" s="66"/>
      <c r="I30" s="64"/>
      <c r="J30" s="66"/>
      <c r="K30" s="66"/>
      <c r="L30" s="90"/>
      <c r="M30" s="91"/>
      <c r="N30" s="92"/>
      <c r="O30" s="54"/>
    </row>
    <row r="31" spans="1:15" s="50" customFormat="1" ht="13.9" customHeight="1">
      <c r="A31" s="55"/>
      <c r="B31" s="88"/>
      <c r="C31" s="89"/>
      <c r="D31" s="89"/>
      <c r="E31" s="64"/>
      <c r="F31" s="85"/>
      <c r="G31" s="85"/>
      <c r="H31" s="66"/>
      <c r="I31" s="64"/>
      <c r="J31" s="66"/>
      <c r="K31" s="66"/>
      <c r="L31" s="90"/>
      <c r="M31" s="91"/>
      <c r="N31" s="92"/>
      <c r="O31" s="54"/>
    </row>
    <row r="32" spans="1:15" s="50" customFormat="1" ht="13.9" customHeight="1">
      <c r="A32" s="55"/>
      <c r="B32" s="88"/>
      <c r="C32" s="89"/>
      <c r="D32" s="89"/>
      <c r="E32" s="96" t="s">
        <v>74</v>
      </c>
      <c r="F32" s="61"/>
      <c r="G32" s="85"/>
      <c r="H32" s="66"/>
      <c r="I32" s="64"/>
      <c r="J32" s="66"/>
      <c r="K32" s="66"/>
      <c r="L32" s="90"/>
      <c r="M32" s="91"/>
      <c r="N32" s="92"/>
      <c r="O32" s="54"/>
    </row>
    <row r="33" spans="1:15" s="50" customFormat="1" ht="13.9" customHeight="1">
      <c r="A33" s="55"/>
      <c r="B33" s="88"/>
      <c r="C33" s="89"/>
      <c r="D33" s="89"/>
      <c r="E33" s="97">
        <f>I37-E37</f>
        <v>2450</v>
      </c>
      <c r="F33" s="61" t="s">
        <v>59</v>
      </c>
      <c r="G33" s="85"/>
      <c r="H33" s="66"/>
      <c r="I33" s="64"/>
      <c r="J33" s="66"/>
      <c r="K33" s="66"/>
      <c r="L33" s="90"/>
      <c r="M33" s="91"/>
      <c r="N33" s="92"/>
      <c r="O33" s="54"/>
    </row>
    <row r="34" spans="1:15" s="50" customFormat="1" ht="12" customHeight="1">
      <c r="A34" s="55"/>
      <c r="B34" s="88"/>
      <c r="C34" s="89"/>
      <c r="D34" s="89"/>
      <c r="E34" s="64"/>
      <c r="F34" s="85"/>
      <c r="G34" s="85"/>
      <c r="H34" s="66"/>
      <c r="I34" s="64"/>
      <c r="J34" s="66"/>
      <c r="K34" s="66"/>
      <c r="L34" s="90"/>
      <c r="M34" s="91"/>
      <c r="N34" s="92"/>
      <c r="O34" s="54"/>
    </row>
    <row r="35" spans="1:15" s="50" customFormat="1" ht="4.5" customHeight="1">
      <c r="A35" s="55"/>
      <c r="B35" s="88"/>
      <c r="C35" s="89"/>
      <c r="D35" s="89"/>
      <c r="E35" s="64"/>
      <c r="F35" s="85"/>
      <c r="G35" s="85"/>
      <c r="H35" s="66"/>
      <c r="I35" s="64"/>
      <c r="J35" s="66"/>
      <c r="K35" s="66"/>
      <c r="L35" s="90"/>
      <c r="M35" s="91"/>
      <c r="N35" s="92"/>
      <c r="O35" s="54"/>
    </row>
    <row r="36" spans="1:15" s="50" customFormat="1" ht="12" customHeight="1">
      <c r="A36" s="55"/>
      <c r="B36" s="88"/>
      <c r="C36" s="89"/>
      <c r="D36" s="89"/>
      <c r="E36" s="152" t="str">
        <f>ROUND(E37/I37,3)*100 &amp; "% of titles circulated"</f>
        <v>46.7% of titles circulated</v>
      </c>
      <c r="F36" s="152"/>
      <c r="G36" s="152"/>
      <c r="H36" s="152"/>
      <c r="I36" s="152"/>
      <c r="J36" s="152"/>
      <c r="K36" s="152"/>
      <c r="L36" s="90"/>
      <c r="M36" s="91"/>
      <c r="N36" s="92"/>
      <c r="O36" s="54"/>
    </row>
    <row r="37" spans="1:15" s="50" customFormat="1" ht="12" customHeight="1">
      <c r="A37" s="55"/>
      <c r="B37" s="88"/>
      <c r="C37" s="89"/>
      <c r="D37" s="89"/>
      <c r="E37" s="94">
        <f>'OverDrive Statistics'!M88</f>
        <v>2147</v>
      </c>
      <c r="F37" s="93" t="s">
        <v>61</v>
      </c>
      <c r="G37" s="93"/>
      <c r="H37" s="93"/>
      <c r="I37" s="64">
        <f>'OverDrive Statistics'!M31</f>
        <v>4597</v>
      </c>
      <c r="J37" s="85" t="s">
        <v>62</v>
      </c>
      <c r="K37" s="85"/>
      <c r="L37" s="90"/>
      <c r="M37" s="91"/>
      <c r="N37" s="92"/>
      <c r="O37" s="54"/>
    </row>
    <row r="38" spans="1:15" s="50" customFormat="1" ht="3.75" customHeight="1">
      <c r="A38" s="55"/>
      <c r="B38" s="88"/>
      <c r="C38" s="89"/>
      <c r="D38" s="89"/>
      <c r="E38" s="64"/>
      <c r="F38" s="85"/>
      <c r="G38" s="85"/>
      <c r="H38" s="66"/>
      <c r="I38" s="64"/>
      <c r="J38" s="66"/>
      <c r="K38" s="66"/>
      <c r="L38" s="90"/>
      <c r="M38" s="91"/>
      <c r="N38" s="92"/>
      <c r="O38" s="54"/>
    </row>
    <row r="39" spans="1:15" s="50" customFormat="1" ht="9.75" customHeight="1">
      <c r="A39" s="55"/>
      <c r="B39" s="88"/>
      <c r="C39" s="89"/>
      <c r="D39" s="89"/>
      <c r="E39" s="90"/>
      <c r="F39" s="89"/>
      <c r="G39" s="89"/>
      <c r="H39" s="91"/>
      <c r="I39" s="90"/>
      <c r="J39" s="91"/>
      <c r="K39" s="91"/>
      <c r="L39" s="90"/>
      <c r="M39" s="91"/>
      <c r="N39" s="92"/>
      <c r="O39" s="54"/>
    </row>
    <row r="40" spans="1:15" s="50" customFormat="1" ht="13.9" customHeight="1">
      <c r="A40" s="55"/>
      <c r="B40" s="68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69"/>
      <c r="O40" s="54"/>
    </row>
    <row r="41" spans="1:15" s="50" customFormat="1" ht="13.9" customHeight="1">
      <c r="A41" s="55"/>
      <c r="B41" s="68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69"/>
      <c r="O41" s="54"/>
    </row>
    <row r="42" spans="1:15" s="50" customFormat="1" ht="13.9" customHeight="1">
      <c r="A42" s="55"/>
      <c r="B42" s="68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69"/>
      <c r="O42" s="54"/>
    </row>
    <row r="43" spans="1:15" s="50" customFormat="1" ht="13.9" customHeight="1">
      <c r="A43" s="55"/>
      <c r="B43" s="68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69"/>
      <c r="O43" s="54"/>
    </row>
    <row r="44" spans="1:15" s="50" customFormat="1" ht="13.9" customHeight="1">
      <c r="A44" s="55"/>
      <c r="B44" s="68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69"/>
      <c r="O44" s="54"/>
    </row>
    <row r="45" spans="1:15" s="50" customFormat="1" ht="13.9" customHeight="1">
      <c r="A45" s="55"/>
      <c r="B45" s="68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69"/>
      <c r="O45" s="54"/>
    </row>
    <row r="46" spans="1:15" s="50" customFormat="1" ht="13.9" customHeight="1">
      <c r="A46" s="55"/>
      <c r="B46" s="68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69"/>
      <c r="O46" s="54"/>
    </row>
    <row r="47" spans="1:15" ht="13.9" customHeight="1">
      <c r="A47" s="55"/>
      <c r="B47" s="68"/>
      <c r="C47" s="34"/>
      <c r="D47" s="34"/>
      <c r="E47" s="34"/>
      <c r="F47" s="34"/>
      <c r="G47" s="34"/>
      <c r="H47" s="34"/>
      <c r="I47" s="38"/>
      <c r="J47" s="34"/>
      <c r="K47" s="34"/>
      <c r="L47" s="34"/>
      <c r="M47" s="34"/>
      <c r="N47" s="69"/>
      <c r="O47" s="54"/>
    </row>
    <row r="48" spans="1:15" ht="13.9" customHeight="1">
      <c r="B48" s="68"/>
      <c r="C48" s="34"/>
      <c r="D48" s="34"/>
      <c r="E48" s="34"/>
      <c r="F48" s="34"/>
      <c r="G48" s="34"/>
      <c r="H48" s="34"/>
      <c r="I48" s="38"/>
      <c r="J48" s="34"/>
      <c r="K48" s="34"/>
      <c r="L48" s="34"/>
      <c r="M48" s="34"/>
      <c r="N48" s="69"/>
    </row>
    <row r="49" spans="1:15" s="50" customFormat="1" ht="13.9" customHeight="1">
      <c r="A49" s="55"/>
      <c r="B49" s="68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69"/>
      <c r="O49" s="54"/>
    </row>
    <row r="50" spans="1:15" s="50" customFormat="1" ht="13.9" customHeight="1">
      <c r="A50" s="55"/>
      <c r="B50" s="68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69"/>
      <c r="O50" s="54"/>
    </row>
    <row r="51" spans="1:15" ht="13.9" customHeight="1">
      <c r="A51" s="55"/>
      <c r="B51" s="68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69"/>
      <c r="O51" s="54"/>
    </row>
    <row r="52" spans="1:15" ht="13.9" customHeight="1">
      <c r="A52" s="55"/>
      <c r="B52" s="68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69"/>
      <c r="O52" s="54"/>
    </row>
    <row r="53" spans="1:15" ht="13.9" customHeight="1">
      <c r="A53" s="55"/>
      <c r="B53" s="68"/>
      <c r="C53" s="34"/>
      <c r="D53" s="34"/>
      <c r="E53" s="34"/>
      <c r="F53" s="34"/>
      <c r="G53" s="34"/>
      <c r="H53" s="34"/>
      <c r="I53" s="37"/>
      <c r="J53" s="37"/>
      <c r="K53" s="37"/>
      <c r="L53" s="36"/>
      <c r="M53" s="36"/>
      <c r="N53" s="70"/>
      <c r="O53" s="54"/>
    </row>
    <row r="54" spans="1:15" ht="13.9" customHeight="1">
      <c r="A54" s="55"/>
      <c r="B54" s="68"/>
      <c r="C54" s="34"/>
      <c r="D54" s="34"/>
      <c r="E54" s="34"/>
      <c r="F54" s="34"/>
      <c r="G54" s="34"/>
      <c r="H54" s="34"/>
      <c r="I54" s="37"/>
      <c r="J54" s="37"/>
      <c r="K54" s="37"/>
      <c r="L54" s="34"/>
      <c r="M54" s="34"/>
      <c r="N54" s="69"/>
      <c r="O54" s="54"/>
    </row>
    <row r="55" spans="1:15" ht="13.9" customHeight="1">
      <c r="A55" s="55"/>
      <c r="B55" s="68"/>
      <c r="C55" s="34"/>
      <c r="D55" s="34"/>
      <c r="E55" s="34"/>
      <c r="F55" s="34"/>
      <c r="G55" s="34"/>
      <c r="H55" s="34"/>
      <c r="I55" s="37"/>
      <c r="J55" s="34"/>
      <c r="K55" s="34"/>
      <c r="L55" s="34"/>
      <c r="M55" s="34"/>
      <c r="N55" s="69"/>
      <c r="O55" s="54"/>
    </row>
    <row r="56" spans="1:15" ht="15">
      <c r="A56" s="55"/>
      <c r="B56" s="139" t="s">
        <v>66</v>
      </c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1"/>
      <c r="O56" s="54"/>
    </row>
    <row r="57" spans="1:15" ht="9" customHeight="1" thickBot="1">
      <c r="A57" s="55"/>
      <c r="B57" s="142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4"/>
      <c r="O57" s="54"/>
    </row>
    <row r="58" spans="1:15" ht="13.9" customHeight="1">
      <c r="A58" s="55"/>
      <c r="B58" s="145">
        <f>'Simultaneous Use Circ'!Q8</f>
        <v>308759</v>
      </c>
      <c r="C58" s="146"/>
      <c r="D58" s="146"/>
      <c r="E58" s="146"/>
      <c r="F58" s="146"/>
      <c r="G58" s="146"/>
      <c r="H58" s="71"/>
      <c r="I58" s="147" t="s">
        <v>68</v>
      </c>
      <c r="J58" s="147"/>
      <c r="K58" s="147"/>
      <c r="L58" s="147"/>
      <c r="M58" s="147"/>
      <c r="N58" s="148"/>
      <c r="O58" s="54"/>
    </row>
    <row r="59" spans="1:15" ht="13.9" customHeight="1">
      <c r="A59" s="55"/>
      <c r="B59" s="72"/>
      <c r="C59" s="73"/>
      <c r="D59" s="73"/>
      <c r="E59" s="73"/>
      <c r="F59" s="73"/>
      <c r="G59" s="73"/>
      <c r="H59" s="73"/>
      <c r="I59" s="74"/>
      <c r="J59" s="73"/>
      <c r="K59" s="73"/>
      <c r="L59" s="73"/>
      <c r="M59" s="73"/>
      <c r="N59" s="75"/>
      <c r="O59" s="54"/>
    </row>
    <row r="60" spans="1:15" ht="13.9" customHeight="1">
      <c r="A60" s="55"/>
      <c r="B60" s="72"/>
      <c r="C60" s="73"/>
      <c r="D60" s="73"/>
      <c r="E60" s="73"/>
      <c r="F60" s="73"/>
      <c r="G60" s="73"/>
      <c r="H60" s="73"/>
      <c r="I60" s="74"/>
      <c r="J60" s="73"/>
      <c r="K60" s="73"/>
      <c r="L60" s="73"/>
      <c r="M60" s="73"/>
      <c r="N60" s="75"/>
      <c r="O60" s="54"/>
    </row>
    <row r="61" spans="1:15" ht="13.9" customHeight="1">
      <c r="A61" s="55"/>
      <c r="B61" s="72"/>
      <c r="C61" s="73"/>
      <c r="D61" s="73"/>
      <c r="E61" s="73"/>
      <c r="F61" s="73"/>
      <c r="G61" s="73"/>
      <c r="H61" s="73"/>
      <c r="I61" s="74"/>
      <c r="J61" s="73"/>
      <c r="K61" s="73"/>
      <c r="L61" s="73"/>
      <c r="M61" s="73"/>
      <c r="N61" s="75"/>
      <c r="O61" s="54"/>
    </row>
    <row r="62" spans="1:15" ht="13.9" customHeight="1">
      <c r="A62" s="55"/>
      <c r="B62" s="72"/>
      <c r="C62" s="73"/>
      <c r="D62" s="73"/>
      <c r="E62" s="73"/>
      <c r="F62" s="73"/>
      <c r="G62" s="73"/>
      <c r="H62" s="73"/>
      <c r="I62" s="74"/>
      <c r="J62" s="73"/>
      <c r="K62" s="73"/>
      <c r="L62" s="73"/>
      <c r="M62" s="73"/>
      <c r="N62" s="75"/>
      <c r="O62" s="54"/>
    </row>
    <row r="63" spans="1:15" ht="13.9" customHeight="1">
      <c r="A63" s="55"/>
      <c r="B63" s="72"/>
      <c r="C63" s="73"/>
      <c r="D63" s="73"/>
      <c r="E63" s="73"/>
      <c r="F63" s="73"/>
      <c r="G63" s="73"/>
      <c r="H63" s="73"/>
      <c r="I63" s="74"/>
      <c r="J63" s="73"/>
      <c r="K63" s="73"/>
      <c r="L63" s="73"/>
      <c r="M63" s="73"/>
      <c r="N63" s="75"/>
      <c r="O63" s="54"/>
    </row>
    <row r="64" spans="1:15" ht="13.9" customHeight="1">
      <c r="A64" s="51"/>
      <c r="B64" s="72"/>
      <c r="C64" s="73"/>
      <c r="D64" s="73"/>
      <c r="E64" s="73"/>
      <c r="F64" s="73"/>
      <c r="G64" s="73"/>
      <c r="H64" s="73"/>
      <c r="I64" s="74"/>
      <c r="J64" s="73"/>
      <c r="K64" s="73"/>
      <c r="L64" s="73"/>
      <c r="M64" s="73"/>
      <c r="N64" s="75"/>
      <c r="O64" s="51"/>
    </row>
    <row r="65" spans="2:14" s="50" customFormat="1" ht="13.9" customHeight="1">
      <c r="B65" s="76"/>
      <c r="C65" s="77"/>
      <c r="D65" s="77"/>
      <c r="E65" s="77"/>
      <c r="F65" s="77"/>
      <c r="G65" s="77"/>
      <c r="H65" s="77"/>
      <c r="I65" s="78"/>
      <c r="J65" s="77"/>
      <c r="K65" s="77"/>
      <c r="L65" s="77"/>
      <c r="M65" s="77"/>
      <c r="N65" s="79"/>
    </row>
    <row r="66" spans="2:14" s="50" customFormat="1" ht="13.9" customHeight="1">
      <c r="B66" s="133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5"/>
    </row>
    <row r="67" spans="2:14" ht="13.9" customHeight="1"/>
  </sheetData>
  <mergeCells count="25">
    <mergeCell ref="B66:N66"/>
    <mergeCell ref="B22:G22"/>
    <mergeCell ref="I22:N22"/>
    <mergeCell ref="C23:D23"/>
    <mergeCell ref="B56:N57"/>
    <mergeCell ref="B58:G58"/>
    <mergeCell ref="I58:N58"/>
    <mergeCell ref="G25:I25"/>
    <mergeCell ref="F26:H26"/>
    <mergeCell ref="I26:K26"/>
    <mergeCell ref="E36:K36"/>
    <mergeCell ref="B1:N3"/>
    <mergeCell ref="B4:N5"/>
    <mergeCell ref="B6:N7"/>
    <mergeCell ref="B8:N9"/>
    <mergeCell ref="B10:G11"/>
    <mergeCell ref="I10:N11"/>
    <mergeCell ref="B12:D12"/>
    <mergeCell ref="E12:G12"/>
    <mergeCell ref="I12:K12"/>
    <mergeCell ref="L12:N12"/>
    <mergeCell ref="B13:D13"/>
    <mergeCell ref="E13:G13"/>
    <mergeCell ref="I13:K13"/>
    <mergeCell ref="L13:N13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89"/>
  <sheetViews>
    <sheetView tabSelected="1" zoomScale="60" zoomScaleNormal="6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21" sqref="M21"/>
    </sheetView>
  </sheetViews>
  <sheetFormatPr defaultRowHeight="15"/>
  <cols>
    <col min="1" max="1" width="42.7109375" bestFit="1" customWidth="1"/>
    <col min="2" max="13" width="13.7109375" customWidth="1"/>
    <col min="14" max="14" width="13.42578125" customWidth="1"/>
    <col min="15" max="15" width="9.28515625"/>
    <col min="16" max="16" width="9.28515625" customWidth="1"/>
    <col min="17" max="17" width="11.42578125" customWidth="1"/>
    <col min="18" max="77" width="9.28515625"/>
  </cols>
  <sheetData>
    <row r="1" spans="1:77" ht="21">
      <c r="A1" s="153" t="s">
        <v>75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8"/>
    </row>
    <row r="2" spans="1:77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16" t="s">
        <v>76</v>
      </c>
    </row>
    <row r="3" spans="1:77">
      <c r="A3" s="1" t="s">
        <v>25</v>
      </c>
      <c r="B3" s="3">
        <f t="shared" ref="B3:N3" si="0">SUM(B4:B5)</f>
        <v>234</v>
      </c>
      <c r="C3" s="3">
        <f t="shared" si="0"/>
        <v>293</v>
      </c>
      <c r="D3" s="3">
        <f t="shared" si="0"/>
        <v>254</v>
      </c>
      <c r="E3" s="3">
        <f t="shared" si="0"/>
        <v>245</v>
      </c>
      <c r="F3" s="3">
        <f t="shared" si="0"/>
        <v>235</v>
      </c>
      <c r="G3" s="3">
        <f t="shared" si="0"/>
        <v>145</v>
      </c>
      <c r="H3" s="3">
        <f t="shared" si="0"/>
        <v>140</v>
      </c>
      <c r="I3" s="3">
        <f t="shared" si="0"/>
        <v>161</v>
      </c>
      <c r="J3" s="3">
        <f t="shared" si="0"/>
        <v>1</v>
      </c>
      <c r="K3" s="3">
        <f t="shared" si="0"/>
        <v>0</v>
      </c>
      <c r="L3" s="3">
        <f t="shared" si="0"/>
        <v>0</v>
      </c>
      <c r="M3" s="3">
        <f t="shared" si="0"/>
        <v>0</v>
      </c>
      <c r="N3" s="4">
        <f t="shared" si="0"/>
        <v>1708</v>
      </c>
    </row>
    <row r="4" spans="1:77" s="20" customFormat="1">
      <c r="A4" s="5" t="s">
        <v>26</v>
      </c>
      <c r="B4" s="6">
        <v>196</v>
      </c>
      <c r="C4" s="6">
        <v>247</v>
      </c>
      <c r="D4" s="6">
        <v>213</v>
      </c>
      <c r="E4" s="6">
        <v>198</v>
      </c>
      <c r="F4" s="6">
        <v>202</v>
      </c>
      <c r="G4" s="6">
        <v>120</v>
      </c>
      <c r="H4" s="6">
        <v>118</v>
      </c>
      <c r="I4" s="6">
        <v>129</v>
      </c>
      <c r="J4" s="6">
        <v>1</v>
      </c>
      <c r="K4" s="6">
        <v>0</v>
      </c>
      <c r="L4" s="6">
        <v>0</v>
      </c>
      <c r="M4" s="6">
        <v>0</v>
      </c>
      <c r="N4" s="17">
        <f>SUM(B4:M4)</f>
        <v>1424</v>
      </c>
      <c r="O4" s="19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</row>
    <row r="5" spans="1:77" s="20" customFormat="1">
      <c r="A5" s="5" t="s">
        <v>24</v>
      </c>
      <c r="B5" s="6">
        <v>38</v>
      </c>
      <c r="C5" s="6">
        <v>46</v>
      </c>
      <c r="D5" s="6">
        <v>41</v>
      </c>
      <c r="E5" s="6">
        <v>47</v>
      </c>
      <c r="F5" s="6">
        <v>33</v>
      </c>
      <c r="G5" s="6">
        <v>25</v>
      </c>
      <c r="H5" s="6">
        <v>22</v>
      </c>
      <c r="I5" s="6">
        <v>32</v>
      </c>
      <c r="J5" s="6">
        <v>0</v>
      </c>
      <c r="K5" s="6">
        <v>0</v>
      </c>
      <c r="L5" s="6">
        <v>0</v>
      </c>
      <c r="M5" s="6">
        <v>0</v>
      </c>
      <c r="N5" s="17">
        <f>SUM(B5:M5)</f>
        <v>284</v>
      </c>
      <c r="O5" s="19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</row>
    <row r="6" spans="1:77">
      <c r="A6" s="1" t="s">
        <v>12</v>
      </c>
      <c r="B6" s="3">
        <f t="shared" ref="B6:N6" si="1">SUM(B7:B9)</f>
        <v>278073</v>
      </c>
      <c r="C6" s="3">
        <f t="shared" si="1"/>
        <v>253498</v>
      </c>
      <c r="D6" s="3">
        <f t="shared" si="1"/>
        <v>288591</v>
      </c>
      <c r="E6" s="3">
        <f t="shared" si="1"/>
        <v>277317</v>
      </c>
      <c r="F6" s="3">
        <f t="shared" si="1"/>
        <v>286240</v>
      </c>
      <c r="G6" s="3">
        <f t="shared" si="1"/>
        <v>287916</v>
      </c>
      <c r="H6" s="3">
        <f t="shared" si="1"/>
        <v>299462</v>
      </c>
      <c r="I6" s="3">
        <f t="shared" si="1"/>
        <v>309361</v>
      </c>
      <c r="J6" s="3">
        <f t="shared" si="1"/>
        <v>289856</v>
      </c>
      <c r="K6" s="3">
        <f t="shared" si="1"/>
        <v>296831</v>
      </c>
      <c r="L6" s="3">
        <f t="shared" si="1"/>
        <v>283949</v>
      </c>
      <c r="M6" s="3">
        <f t="shared" si="1"/>
        <v>281561</v>
      </c>
      <c r="N6" s="4">
        <f t="shared" si="1"/>
        <v>3432655</v>
      </c>
    </row>
    <row r="7" spans="1:77">
      <c r="A7" s="5" t="s">
        <v>13</v>
      </c>
      <c r="B7" s="6">
        <v>68063</v>
      </c>
      <c r="C7" s="6">
        <v>60705</v>
      </c>
      <c r="D7" s="6">
        <v>66595</v>
      </c>
      <c r="E7" s="6">
        <v>60189</v>
      </c>
      <c r="F7" s="6">
        <v>60819</v>
      </c>
      <c r="G7" s="6">
        <v>58801</v>
      </c>
      <c r="H7" s="6">
        <v>58203</v>
      </c>
      <c r="I7" s="6">
        <v>50285</v>
      </c>
      <c r="J7" s="6">
        <v>40860</v>
      </c>
      <c r="K7" s="6">
        <v>38183</v>
      </c>
      <c r="L7" s="6">
        <v>33417</v>
      </c>
      <c r="M7" s="6">
        <v>29027</v>
      </c>
      <c r="N7" s="17">
        <f>SUM(B7:M7)</f>
        <v>625147</v>
      </c>
      <c r="O7" s="19"/>
    </row>
    <row r="8" spans="1:77">
      <c r="A8" s="5" t="s">
        <v>28</v>
      </c>
      <c r="B8" s="6">
        <v>203657</v>
      </c>
      <c r="C8" s="6">
        <v>186880</v>
      </c>
      <c r="D8" s="6">
        <v>214939</v>
      </c>
      <c r="E8" s="6">
        <v>210497</v>
      </c>
      <c r="F8" s="6">
        <v>218788</v>
      </c>
      <c r="G8" s="6">
        <v>222320</v>
      </c>
      <c r="H8" s="6">
        <v>234429</v>
      </c>
      <c r="I8" s="6">
        <v>251943</v>
      </c>
      <c r="J8" s="6">
        <v>242365</v>
      </c>
      <c r="K8" s="6">
        <v>251896</v>
      </c>
      <c r="L8" s="6">
        <v>244281</v>
      </c>
      <c r="M8" s="6">
        <v>246373</v>
      </c>
      <c r="N8" s="17">
        <f t="shared" ref="N8:N9" si="2">SUM(B8:M8)</f>
        <v>2728368</v>
      </c>
      <c r="O8" s="19"/>
    </row>
    <row r="9" spans="1:77">
      <c r="A9" s="5" t="s">
        <v>41</v>
      </c>
      <c r="B9" s="6">
        <v>6353</v>
      </c>
      <c r="C9" s="6">
        <v>5913</v>
      </c>
      <c r="D9" s="6">
        <v>7057</v>
      </c>
      <c r="E9" s="6">
        <v>6631</v>
      </c>
      <c r="F9" s="6">
        <v>6633</v>
      </c>
      <c r="G9" s="6">
        <v>6795</v>
      </c>
      <c r="H9" s="6">
        <v>6830</v>
      </c>
      <c r="I9" s="6">
        <v>7133</v>
      </c>
      <c r="J9" s="6">
        <v>6631</v>
      </c>
      <c r="K9" s="6">
        <v>6752</v>
      </c>
      <c r="L9" s="6">
        <v>6251</v>
      </c>
      <c r="M9" s="6">
        <v>6161</v>
      </c>
      <c r="N9" s="17">
        <f t="shared" si="2"/>
        <v>79140</v>
      </c>
      <c r="O9" s="19"/>
    </row>
    <row r="10" spans="1:77">
      <c r="A10" s="1" t="s">
        <v>14</v>
      </c>
      <c r="B10" s="3">
        <f>SUM(B11:B19)</f>
        <v>351066</v>
      </c>
      <c r="C10" s="3">
        <f t="shared" ref="C10:M10" si="3">SUM(C11:C19)</f>
        <v>307533</v>
      </c>
      <c r="D10" s="3">
        <f t="shared" si="3"/>
        <v>335476</v>
      </c>
      <c r="E10" s="3">
        <f t="shared" si="3"/>
        <v>317204</v>
      </c>
      <c r="F10" s="3">
        <f t="shared" si="3"/>
        <v>312737</v>
      </c>
      <c r="G10" s="3">
        <f t="shared" si="3"/>
        <v>314718</v>
      </c>
      <c r="H10" s="3">
        <f t="shared" si="3"/>
        <v>336517</v>
      </c>
      <c r="I10" s="3">
        <f t="shared" si="3"/>
        <v>335884</v>
      </c>
      <c r="J10" s="3">
        <f t="shared" si="3"/>
        <v>304534</v>
      </c>
      <c r="K10" s="3">
        <f t="shared" si="3"/>
        <v>309366</v>
      </c>
      <c r="L10" s="3">
        <f t="shared" si="3"/>
        <v>301452</v>
      </c>
      <c r="M10" s="3">
        <f t="shared" si="3"/>
        <v>313658</v>
      </c>
      <c r="N10" s="4">
        <f>SUM(N11:N19)</f>
        <v>3840145</v>
      </c>
    </row>
    <row r="11" spans="1:77">
      <c r="A11" s="5" t="s">
        <v>15</v>
      </c>
      <c r="B11" s="6">
        <v>459</v>
      </c>
      <c r="C11" s="6">
        <v>432</v>
      </c>
      <c r="D11" s="6">
        <v>430</v>
      </c>
      <c r="E11" s="6">
        <v>372</v>
      </c>
      <c r="F11" s="6">
        <v>357</v>
      </c>
      <c r="G11" s="6">
        <v>371</v>
      </c>
      <c r="H11" s="6">
        <v>352</v>
      </c>
      <c r="I11" s="6">
        <v>287</v>
      </c>
      <c r="J11" s="6">
        <v>206</v>
      </c>
      <c r="K11" s="6">
        <v>207</v>
      </c>
      <c r="L11" s="6">
        <v>176</v>
      </c>
      <c r="M11" s="6">
        <v>182</v>
      </c>
      <c r="N11" s="17">
        <f>SUM(B11:M11)</f>
        <v>3831</v>
      </c>
      <c r="O11" s="19"/>
    </row>
    <row r="12" spans="1:77">
      <c r="A12" s="5" t="s">
        <v>16</v>
      </c>
      <c r="B12" s="6">
        <v>53499</v>
      </c>
      <c r="C12" s="6">
        <v>46224</v>
      </c>
      <c r="D12" s="6">
        <v>48947</v>
      </c>
      <c r="E12" s="6">
        <v>45184</v>
      </c>
      <c r="F12" s="6">
        <v>43114</v>
      </c>
      <c r="G12" s="6">
        <v>42820</v>
      </c>
      <c r="H12" s="6">
        <v>43884</v>
      </c>
      <c r="I12" s="6">
        <v>38160</v>
      </c>
      <c r="J12" s="6">
        <v>31117</v>
      </c>
      <c r="K12" s="6">
        <v>28587</v>
      </c>
      <c r="L12" s="6">
        <v>25664</v>
      </c>
      <c r="M12" s="6">
        <v>23192</v>
      </c>
      <c r="N12" s="17">
        <f t="shared" ref="N12:N19" si="4">SUM(B12:M12)</f>
        <v>470392</v>
      </c>
      <c r="O12" s="19"/>
    </row>
    <row r="13" spans="1:77">
      <c r="A13" s="5" t="s">
        <v>17</v>
      </c>
      <c r="B13" s="6">
        <v>32</v>
      </c>
      <c r="C13" s="6">
        <v>35</v>
      </c>
      <c r="D13" s="6">
        <v>34</v>
      </c>
      <c r="E13" s="6">
        <v>26</v>
      </c>
      <c r="F13" s="6">
        <v>21</v>
      </c>
      <c r="G13" s="6">
        <v>28</v>
      </c>
      <c r="H13" s="6">
        <v>31</v>
      </c>
      <c r="I13" s="6">
        <v>24</v>
      </c>
      <c r="J13" s="6">
        <v>14</v>
      </c>
      <c r="K13" s="6">
        <v>7</v>
      </c>
      <c r="L13" s="6">
        <v>8</v>
      </c>
      <c r="M13" s="6">
        <v>16</v>
      </c>
      <c r="N13" s="17">
        <f t="shared" si="4"/>
        <v>276</v>
      </c>
      <c r="O13" s="19"/>
    </row>
    <row r="14" spans="1:77">
      <c r="A14" s="5" t="s">
        <v>18</v>
      </c>
      <c r="B14" s="6">
        <v>956</v>
      </c>
      <c r="C14" s="6">
        <v>729</v>
      </c>
      <c r="D14" s="6">
        <v>751</v>
      </c>
      <c r="E14" s="6">
        <v>755</v>
      </c>
      <c r="F14" s="6">
        <v>725</v>
      </c>
      <c r="G14" s="6">
        <v>714</v>
      </c>
      <c r="H14" s="6">
        <v>746</v>
      </c>
      <c r="I14" s="6">
        <v>619</v>
      </c>
      <c r="J14" s="6">
        <v>556</v>
      </c>
      <c r="K14" s="6">
        <v>461</v>
      </c>
      <c r="L14" s="6">
        <v>445</v>
      </c>
      <c r="M14" s="6">
        <v>410</v>
      </c>
      <c r="N14" s="17">
        <f t="shared" si="4"/>
        <v>7867</v>
      </c>
      <c r="O14" s="19"/>
    </row>
    <row r="15" spans="1:77">
      <c r="A15" s="5" t="s">
        <v>19</v>
      </c>
      <c r="B15" s="6">
        <v>121474</v>
      </c>
      <c r="C15" s="6">
        <v>105242</v>
      </c>
      <c r="D15" s="6">
        <v>115436</v>
      </c>
      <c r="E15" s="6">
        <v>107901</v>
      </c>
      <c r="F15" s="6">
        <v>106323</v>
      </c>
      <c r="G15" s="6">
        <v>109140</v>
      </c>
      <c r="H15" s="6">
        <v>116456</v>
      </c>
      <c r="I15" s="6">
        <v>116144</v>
      </c>
      <c r="J15" s="6">
        <v>103062</v>
      </c>
      <c r="K15" s="6">
        <v>104734</v>
      </c>
      <c r="L15" s="6">
        <v>101476</v>
      </c>
      <c r="M15" s="6">
        <v>107767</v>
      </c>
      <c r="N15" s="17">
        <f t="shared" si="4"/>
        <v>1315155</v>
      </c>
      <c r="O15" s="19"/>
    </row>
    <row r="16" spans="1:77">
      <c r="A16" s="5" t="s">
        <v>32</v>
      </c>
      <c r="B16" s="6">
        <v>1479</v>
      </c>
      <c r="C16" s="6">
        <v>1375</v>
      </c>
      <c r="D16" s="6">
        <v>1460</v>
      </c>
      <c r="E16" s="6">
        <v>1428</v>
      </c>
      <c r="F16" s="6">
        <v>1359</v>
      </c>
      <c r="G16" s="6">
        <v>1534</v>
      </c>
      <c r="H16" s="6">
        <v>1562</v>
      </c>
      <c r="I16" s="6">
        <v>1732</v>
      </c>
      <c r="J16" s="6">
        <v>1616</v>
      </c>
      <c r="K16" s="6">
        <v>1517</v>
      </c>
      <c r="L16" s="6">
        <v>1313</v>
      </c>
      <c r="M16" s="6">
        <v>1655</v>
      </c>
      <c r="N16" s="17">
        <f t="shared" si="4"/>
        <v>18030</v>
      </c>
      <c r="O16" s="19"/>
    </row>
    <row r="17" spans="1:16">
      <c r="A17" s="5" t="s">
        <v>29</v>
      </c>
      <c r="B17" s="6">
        <v>40</v>
      </c>
      <c r="C17" s="6">
        <v>15</v>
      </c>
      <c r="D17" s="6">
        <v>22</v>
      </c>
      <c r="E17" s="6">
        <v>27</v>
      </c>
      <c r="F17" s="6">
        <v>25</v>
      </c>
      <c r="G17" s="6">
        <v>31</v>
      </c>
      <c r="H17" s="6">
        <v>42</v>
      </c>
      <c r="I17" s="6">
        <v>38</v>
      </c>
      <c r="J17" s="6">
        <v>39</v>
      </c>
      <c r="K17" s="6">
        <v>70</v>
      </c>
      <c r="L17" s="6">
        <v>22</v>
      </c>
      <c r="M17" s="6">
        <v>48</v>
      </c>
      <c r="N17" s="17">
        <f t="shared" si="4"/>
        <v>419</v>
      </c>
      <c r="O17" s="19"/>
    </row>
    <row r="18" spans="1:16">
      <c r="A18" s="5" t="s">
        <v>27</v>
      </c>
      <c r="B18" s="6">
        <v>163239</v>
      </c>
      <c r="C18" s="6">
        <v>144717</v>
      </c>
      <c r="D18" s="6">
        <v>158923</v>
      </c>
      <c r="E18" s="6">
        <v>152554</v>
      </c>
      <c r="F18" s="6">
        <v>152323</v>
      </c>
      <c r="G18" s="6">
        <v>151599</v>
      </c>
      <c r="H18" s="6">
        <v>164687</v>
      </c>
      <c r="I18" s="6">
        <v>170766</v>
      </c>
      <c r="J18" s="6">
        <v>160353</v>
      </c>
      <c r="K18" s="6">
        <v>166384</v>
      </c>
      <c r="L18" s="6">
        <v>165329</v>
      </c>
      <c r="M18" s="6">
        <v>173517</v>
      </c>
      <c r="N18" s="17">
        <f t="shared" si="4"/>
        <v>1924391</v>
      </c>
      <c r="O18" s="19"/>
    </row>
    <row r="19" spans="1:16">
      <c r="A19" s="5" t="s">
        <v>40</v>
      </c>
      <c r="B19" s="6">
        <v>9888</v>
      </c>
      <c r="C19" s="6">
        <v>8764</v>
      </c>
      <c r="D19" s="6">
        <v>9473</v>
      </c>
      <c r="E19" s="6">
        <v>8957</v>
      </c>
      <c r="F19" s="6">
        <v>8490</v>
      </c>
      <c r="G19" s="6">
        <v>8481</v>
      </c>
      <c r="H19" s="6">
        <v>8757</v>
      </c>
      <c r="I19" s="6">
        <v>8114</v>
      </c>
      <c r="J19" s="6">
        <v>7571</v>
      </c>
      <c r="K19" s="6">
        <v>7399</v>
      </c>
      <c r="L19" s="6">
        <v>7019</v>
      </c>
      <c r="M19" s="6">
        <v>6871</v>
      </c>
      <c r="N19" s="17">
        <f t="shared" si="4"/>
        <v>99784</v>
      </c>
      <c r="O19" s="19"/>
    </row>
    <row r="20" spans="1:16">
      <c r="A20" s="1" t="s">
        <v>70</v>
      </c>
      <c r="B20" s="3">
        <f t="shared" ref="B20:N20" si="5">SUM(B21:B21)</f>
        <v>28966</v>
      </c>
      <c r="C20" s="3">
        <f t="shared" si="5"/>
        <v>27186</v>
      </c>
      <c r="D20" s="3">
        <f t="shared" si="5"/>
        <v>30613</v>
      </c>
      <c r="E20" s="3">
        <f t="shared" si="5"/>
        <v>28933</v>
      </c>
      <c r="F20" s="3">
        <f t="shared" si="5"/>
        <v>27727</v>
      </c>
      <c r="G20" s="3">
        <f t="shared" si="5"/>
        <v>27294</v>
      </c>
      <c r="H20" s="3">
        <f t="shared" si="5"/>
        <v>27739</v>
      </c>
      <c r="I20" s="3">
        <f t="shared" si="5"/>
        <v>32434</v>
      </c>
      <c r="J20" s="3">
        <f t="shared" si="5"/>
        <v>31731</v>
      </c>
      <c r="K20" s="3">
        <f t="shared" si="5"/>
        <v>30046</v>
      </c>
      <c r="L20" s="3">
        <f t="shared" si="5"/>
        <v>31696</v>
      </c>
      <c r="M20" s="3">
        <f t="shared" si="5"/>
        <v>29478</v>
      </c>
      <c r="N20" s="4">
        <f t="shared" si="5"/>
        <v>353843</v>
      </c>
    </row>
    <row r="21" spans="1:16">
      <c r="A21" s="5" t="s">
        <v>71</v>
      </c>
      <c r="B21" s="6">
        <v>28966</v>
      </c>
      <c r="C21" s="6">
        <v>27186</v>
      </c>
      <c r="D21" s="6">
        <v>30613</v>
      </c>
      <c r="E21" s="6">
        <v>28933</v>
      </c>
      <c r="F21" s="6">
        <v>27727</v>
      </c>
      <c r="G21" s="6">
        <v>27294</v>
      </c>
      <c r="H21" s="6">
        <v>27739</v>
      </c>
      <c r="I21" s="6">
        <v>32434</v>
      </c>
      <c r="J21" s="6">
        <v>31731</v>
      </c>
      <c r="K21" s="6">
        <v>30046</v>
      </c>
      <c r="L21" s="6">
        <v>31696</v>
      </c>
      <c r="M21" s="6">
        <v>29478</v>
      </c>
      <c r="N21" s="17">
        <f>SUM(B21:M21)</f>
        <v>353843</v>
      </c>
      <c r="O21" s="19"/>
    </row>
    <row r="22" spans="1:16">
      <c r="A22" s="7" t="s">
        <v>20</v>
      </c>
      <c r="B22" s="8">
        <f t="shared" ref="B22:K22" si="6">SUM(B3,B6,B10,B20)</f>
        <v>658339</v>
      </c>
      <c r="C22" s="8">
        <f t="shared" si="6"/>
        <v>588510</v>
      </c>
      <c r="D22" s="8">
        <f t="shared" si="6"/>
        <v>654934</v>
      </c>
      <c r="E22" s="8">
        <f t="shared" si="6"/>
        <v>623699</v>
      </c>
      <c r="F22" s="8">
        <f t="shared" si="6"/>
        <v>626939</v>
      </c>
      <c r="G22" s="8">
        <f t="shared" si="6"/>
        <v>630073</v>
      </c>
      <c r="H22" s="8">
        <f t="shared" si="6"/>
        <v>663858</v>
      </c>
      <c r="I22" s="8">
        <f t="shared" si="6"/>
        <v>677840</v>
      </c>
      <c r="J22" s="8">
        <f t="shared" si="6"/>
        <v>626122</v>
      </c>
      <c r="K22" s="8">
        <f t="shared" si="6"/>
        <v>636243</v>
      </c>
      <c r="L22" s="8">
        <f>SUM(L3,L6,L10, L20)</f>
        <v>617097</v>
      </c>
      <c r="M22" s="8">
        <f>SUM(M3,M6,M10, M20)</f>
        <v>624697</v>
      </c>
      <c r="N22" s="22">
        <f>SUM(N3,N6,N10, N20)</f>
        <v>7628351</v>
      </c>
      <c r="P22" t="s">
        <v>39</v>
      </c>
    </row>
    <row r="23" spans="1:16">
      <c r="A23" s="44"/>
    </row>
    <row r="25" spans="1:16">
      <c r="A25" s="155" t="s">
        <v>90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</row>
    <row r="26" spans="1:16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</row>
    <row r="27" spans="1:16" ht="60">
      <c r="A27" s="9" t="s">
        <v>42</v>
      </c>
      <c r="B27" s="10" t="s">
        <v>77</v>
      </c>
      <c r="C27" s="10" t="s">
        <v>78</v>
      </c>
      <c r="D27" s="10" t="s">
        <v>79</v>
      </c>
      <c r="E27" s="10" t="s">
        <v>80</v>
      </c>
      <c r="F27" s="10" t="s">
        <v>81</v>
      </c>
      <c r="G27" s="10" t="s">
        <v>82</v>
      </c>
      <c r="H27" s="10" t="s">
        <v>83</v>
      </c>
      <c r="I27" s="10" t="s">
        <v>84</v>
      </c>
      <c r="J27" s="10" t="s">
        <v>85</v>
      </c>
      <c r="K27" s="10" t="s">
        <v>86</v>
      </c>
      <c r="L27" s="10" t="s">
        <v>87</v>
      </c>
      <c r="M27" s="11" t="s">
        <v>88</v>
      </c>
    </row>
    <row r="28" spans="1:16">
      <c r="A28" s="1" t="s">
        <v>36</v>
      </c>
      <c r="B28" s="3">
        <f>SUM(B29:B30:B31)</f>
        <v>116616</v>
      </c>
      <c r="C28" s="3">
        <f>SUM(C29:C30:C31)</f>
        <v>117327</v>
      </c>
      <c r="D28" s="3">
        <f>SUM(D29:D30:D31)</f>
        <v>117619</v>
      </c>
      <c r="E28" s="3">
        <f>SUM(E29:E30:E31)</f>
        <v>118408</v>
      </c>
      <c r="F28" s="3">
        <f>SUM(F29:F30:F31)</f>
        <v>118481</v>
      </c>
      <c r="G28" s="3">
        <f>SUM(G29:G30:G31)</f>
        <v>119574</v>
      </c>
      <c r="H28" s="3">
        <f>SUM(H29:H30:H31)</f>
        <v>119572</v>
      </c>
      <c r="I28" s="3">
        <f>SUM(I29:I30:I31)</f>
        <v>119830</v>
      </c>
      <c r="J28" s="3">
        <f>SUM(J29:J30:J31)</f>
        <v>119551</v>
      </c>
      <c r="K28" s="3">
        <f>SUM(K29:K30:K31)</f>
        <v>120101</v>
      </c>
      <c r="L28" s="3">
        <f>SUM(L29:L30:L31)</f>
        <v>119932</v>
      </c>
      <c r="M28" s="3">
        <f>SUM(M29:M30:M31)</f>
        <v>119719</v>
      </c>
    </row>
    <row r="29" spans="1:16">
      <c r="A29" s="12" t="s">
        <v>35</v>
      </c>
      <c r="B29" s="19">
        <f>29113+69+9+1584+66</f>
        <v>30841</v>
      </c>
      <c r="C29" s="19">
        <f>29363+94+9+1655+54</f>
        <v>31175</v>
      </c>
      <c r="D29" s="19">
        <f>29599+144+10+1657+47</f>
        <v>31457</v>
      </c>
      <c r="E29" s="19">
        <f>30093+144+9+1664+56</f>
        <v>31966</v>
      </c>
      <c r="F29" s="19">
        <f>30245+120+9+1711+45</f>
        <v>32130</v>
      </c>
      <c r="G29" s="19">
        <f>30502+115+11+1768+57</f>
        <v>32453</v>
      </c>
      <c r="H29" s="19">
        <f>30662+120+13+1773+49</f>
        <v>32617</v>
      </c>
      <c r="I29" s="19">
        <f>30823+120+11+1811+61</f>
        <v>32826</v>
      </c>
      <c r="J29" s="19">
        <f>31019+120+15+1767+51</f>
        <v>32972</v>
      </c>
      <c r="K29" s="19">
        <f>31259+120+17+1867+62</f>
        <v>33325</v>
      </c>
      <c r="L29" s="19">
        <f>31379+120+17+1863+50</f>
        <v>33429</v>
      </c>
      <c r="M29" s="21">
        <f>31604+120+25+1756+48</f>
        <v>33553</v>
      </c>
    </row>
    <row r="30" spans="1:16">
      <c r="A30" s="12" t="s">
        <v>38</v>
      </c>
      <c r="B30" s="19">
        <f>54316+7626+1083+11417+7376+12</f>
        <v>81830</v>
      </c>
      <c r="C30" s="19">
        <f>54555+7626+1139+11434+7390+14</f>
        <v>82158</v>
      </c>
      <c r="D30" s="19">
        <f>54717+7626+1177+11231+7335+16</f>
        <v>82102</v>
      </c>
      <c r="E30" s="19">
        <f>54973+7626+1214+11088+7403+22</f>
        <v>82326</v>
      </c>
      <c r="F30" s="19">
        <f>55079+7575+1208+11038+7285+19</f>
        <v>82204</v>
      </c>
      <c r="G30" s="19">
        <f>55542+7532+1258+11198+7378+32</f>
        <v>82940</v>
      </c>
      <c r="H30" s="19">
        <f>55792+7579+1280+10962+7098+31</f>
        <v>82742</v>
      </c>
      <c r="I30" s="19">
        <f>56030+7579+1264+10894+6761+34</f>
        <v>82562</v>
      </c>
      <c r="J30" s="19">
        <f>56195+7579+1240+10606+6460+35</f>
        <v>82115</v>
      </c>
      <c r="K30" s="19">
        <f>56417+7579+1231+10696+6336+41</f>
        <v>82300</v>
      </c>
      <c r="L30" s="19">
        <f>56609+7579+1197+10396+6095+38</f>
        <v>81914</v>
      </c>
      <c r="M30" s="21">
        <f>56842+7579+1204+10136+5765+43</f>
        <v>81569</v>
      </c>
    </row>
    <row r="31" spans="1:16">
      <c r="A31" s="12" t="s">
        <v>72</v>
      </c>
      <c r="B31" s="19">
        <v>3945</v>
      </c>
      <c r="C31" s="19">
        <v>3994</v>
      </c>
      <c r="D31" s="19">
        <v>4060</v>
      </c>
      <c r="E31" s="19">
        <v>4116</v>
      </c>
      <c r="F31" s="19">
        <v>4147</v>
      </c>
      <c r="G31" s="19">
        <v>4181</v>
      </c>
      <c r="H31" s="19">
        <v>4213</v>
      </c>
      <c r="I31" s="19">
        <v>4442</v>
      </c>
      <c r="J31" s="19">
        <v>4464</v>
      </c>
      <c r="K31" s="19">
        <v>4476</v>
      </c>
      <c r="L31" s="19">
        <v>4589</v>
      </c>
      <c r="M31" s="21">
        <v>4597</v>
      </c>
    </row>
    <row r="32" spans="1:16">
      <c r="A32" s="1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1"/>
    </row>
    <row r="33" spans="1:14">
      <c r="A33" s="1" t="s">
        <v>37</v>
      </c>
      <c r="B33" s="3">
        <f t="shared" ref="B33:M33" si="7">SUM(B34:B35)</f>
        <v>312883</v>
      </c>
      <c r="C33" s="3">
        <f t="shared" si="7"/>
        <v>315264</v>
      </c>
      <c r="D33" s="3">
        <f t="shared" si="7"/>
        <v>315858</v>
      </c>
      <c r="E33" s="3">
        <f t="shared" si="7"/>
        <v>317052</v>
      </c>
      <c r="F33" s="3">
        <f t="shared" si="7"/>
        <v>318099</v>
      </c>
      <c r="G33" s="3">
        <f t="shared" si="7"/>
        <v>320942</v>
      </c>
      <c r="H33" s="3">
        <f t="shared" si="7"/>
        <v>320857</v>
      </c>
      <c r="I33" s="3">
        <f t="shared" si="7"/>
        <v>322027</v>
      </c>
      <c r="J33" s="3">
        <f t="shared" si="7"/>
        <v>321137</v>
      </c>
      <c r="K33" s="3">
        <f t="shared" si="7"/>
        <v>323094</v>
      </c>
      <c r="L33" s="3">
        <f t="shared" si="7"/>
        <v>322517</v>
      </c>
      <c r="M33" s="4">
        <f t="shared" si="7"/>
        <v>321764</v>
      </c>
    </row>
    <row r="34" spans="1:14">
      <c r="A34" s="12" t="s">
        <v>35</v>
      </c>
      <c r="B34" s="19">
        <f>87680+10+6167</f>
        <v>93857</v>
      </c>
      <c r="C34" s="19">
        <f>88502+10+6477</f>
        <v>94989</v>
      </c>
      <c r="D34" s="19">
        <f>89319+11+6442</f>
        <v>95772</v>
      </c>
      <c r="E34" s="19">
        <f>90335+11+6426</f>
        <v>96772</v>
      </c>
      <c r="F34" s="19">
        <f>90945+11+6559</f>
        <v>97515</v>
      </c>
      <c r="G34" s="19">
        <f>91814+13+6690</f>
        <v>98517</v>
      </c>
      <c r="H34" s="19">
        <f>92418+15+6646</f>
        <v>99079</v>
      </c>
      <c r="I34" s="19">
        <f>93254+11+6724</f>
        <v>99989</v>
      </c>
      <c r="J34" s="19">
        <f>93818+15+6502</f>
        <v>100335</v>
      </c>
      <c r="K34" s="19">
        <f>94457+17+6678</f>
        <v>101152</v>
      </c>
      <c r="L34" s="19">
        <f>94965+17+6450</f>
        <v>101432</v>
      </c>
      <c r="M34" s="21">
        <f>95566+25+6162</f>
        <v>101753</v>
      </c>
    </row>
    <row r="35" spans="1:14">
      <c r="A35" s="12" t="s">
        <v>38</v>
      </c>
      <c r="B35" s="19">
        <f>172350+1575+31213+13888</f>
        <v>219026</v>
      </c>
      <c r="C35" s="19">
        <f>173011+1633+31563+14068</f>
        <v>220275</v>
      </c>
      <c r="D35" s="19">
        <f>173438+1663+30938+14047</f>
        <v>220086</v>
      </c>
      <c r="E35" s="19">
        <f>174173+1690+30131+14286</f>
        <v>220280</v>
      </c>
      <c r="F35" s="19">
        <f>174529+1679+30179+14197</f>
        <v>220584</v>
      </c>
      <c r="G35" s="19">
        <f>175823+1726+30399+14477</f>
        <v>222425</v>
      </c>
      <c r="H35" s="19">
        <f>176448+1729+29723+13878</f>
        <v>221778</v>
      </c>
      <c r="I35" s="19">
        <f>177052+1714+29987+13285</f>
        <v>222038</v>
      </c>
      <c r="J35" s="19">
        <f>177392+1664+28941+12805</f>
        <v>220802</v>
      </c>
      <c r="K35" s="19">
        <f>177994+1650+29334+12964</f>
        <v>221942</v>
      </c>
      <c r="L35" s="19">
        <f>178495+1612+28343+12635</f>
        <v>221085</v>
      </c>
      <c r="M35" s="21">
        <f>178986+1610+27469+11946</f>
        <v>220011</v>
      </c>
    </row>
    <row r="36" spans="1:14">
      <c r="A36" s="1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1"/>
    </row>
    <row r="37" spans="1:14">
      <c r="A37" s="1" t="s">
        <v>43</v>
      </c>
      <c r="B37" s="3">
        <f t="shared" ref="B37:M37" si="8">SUM(B38:B39)</f>
        <v>63284</v>
      </c>
      <c r="C37" s="3">
        <f t="shared" si="8"/>
        <v>64280</v>
      </c>
      <c r="D37" s="3">
        <f t="shared" si="8"/>
        <v>64373</v>
      </c>
      <c r="E37" s="3">
        <f t="shared" si="8"/>
        <v>64549</v>
      </c>
      <c r="F37" s="3">
        <f t="shared" si="8"/>
        <v>65426</v>
      </c>
      <c r="G37" s="3">
        <f t="shared" si="8"/>
        <v>66655</v>
      </c>
      <c r="H37" s="3">
        <f t="shared" si="8"/>
        <v>67336</v>
      </c>
      <c r="I37" s="3">
        <f t="shared" si="8"/>
        <v>67992</v>
      </c>
      <c r="J37" s="3">
        <f t="shared" si="8"/>
        <v>68089</v>
      </c>
      <c r="K37" s="3">
        <f t="shared" si="8"/>
        <v>68658</v>
      </c>
      <c r="L37" s="3">
        <f t="shared" si="8"/>
        <v>68282</v>
      </c>
      <c r="M37" s="4">
        <f t="shared" si="8"/>
        <v>68102</v>
      </c>
    </row>
    <row r="38" spans="1:14">
      <c r="A38" s="12" t="s">
        <v>35</v>
      </c>
      <c r="B38" s="19">
        <v>22236</v>
      </c>
      <c r="C38" s="19">
        <v>22675</v>
      </c>
      <c r="D38" s="19">
        <f>22954</f>
        <v>22954</v>
      </c>
      <c r="E38" s="19">
        <v>23312</v>
      </c>
      <c r="F38" s="19">
        <v>23834</v>
      </c>
      <c r="G38" s="19">
        <v>24263</v>
      </c>
      <c r="H38" s="19">
        <v>24670</v>
      </c>
      <c r="I38" s="19">
        <v>25020</v>
      </c>
      <c r="J38" s="19">
        <v>25239</v>
      </c>
      <c r="K38" s="19">
        <v>25570</v>
      </c>
      <c r="L38" s="19">
        <v>25812</v>
      </c>
      <c r="M38" s="21">
        <v>25979</v>
      </c>
    </row>
    <row r="39" spans="1:14">
      <c r="A39" s="81" t="s">
        <v>38</v>
      </c>
      <c r="B39" s="86">
        <v>41048</v>
      </c>
      <c r="C39" s="86">
        <v>41605</v>
      </c>
      <c r="D39" s="19">
        <v>41419</v>
      </c>
      <c r="E39" s="19">
        <v>41237</v>
      </c>
      <c r="F39" s="19">
        <v>41592</v>
      </c>
      <c r="G39" s="19">
        <v>42392</v>
      </c>
      <c r="H39" s="19">
        <v>42666</v>
      </c>
      <c r="I39" s="19">
        <v>42972</v>
      </c>
      <c r="J39" s="19">
        <v>42850</v>
      </c>
      <c r="K39" s="19">
        <v>43088</v>
      </c>
      <c r="L39" s="19">
        <v>42470</v>
      </c>
      <c r="M39" s="21">
        <v>42123</v>
      </c>
    </row>
    <row r="40" spans="1:14">
      <c r="A40" s="4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4">
      <c r="A41" s="30"/>
    </row>
    <row r="42" spans="1:14" s="2" customFormat="1" ht="21">
      <c r="A42" s="25" t="s">
        <v>33</v>
      </c>
      <c r="B42" s="26">
        <v>44593</v>
      </c>
      <c r="C42" s="26">
        <v>44621</v>
      </c>
      <c r="D42" s="26">
        <v>44652</v>
      </c>
      <c r="E42" s="26">
        <v>44683</v>
      </c>
      <c r="F42" s="26">
        <v>44713</v>
      </c>
      <c r="G42" s="26">
        <v>44743</v>
      </c>
      <c r="H42" s="26">
        <v>44774</v>
      </c>
      <c r="I42" s="26">
        <v>44805</v>
      </c>
      <c r="J42" s="26">
        <v>44837</v>
      </c>
      <c r="K42" s="26">
        <v>44866</v>
      </c>
      <c r="L42" s="26">
        <v>44896</v>
      </c>
      <c r="M42" s="27">
        <v>44928</v>
      </c>
      <c r="N42" s="39"/>
    </row>
    <row r="43" spans="1:14" s="32" customFormat="1">
      <c r="A43" s="40" t="s">
        <v>35</v>
      </c>
      <c r="B43" s="32">
        <v>8580366</v>
      </c>
      <c r="C43" s="32">
        <v>8713800</v>
      </c>
      <c r="D43" s="32">
        <v>8863596</v>
      </c>
      <c r="E43" s="32">
        <v>9013272</v>
      </c>
      <c r="F43" s="32">
        <v>9153193</v>
      </c>
      <c r="G43" s="32">
        <v>9309794</v>
      </c>
      <c r="H43" s="32">
        <v>9467309</v>
      </c>
      <c r="I43" s="32">
        <v>9631918</v>
      </c>
      <c r="J43" s="32">
        <v>9794109</v>
      </c>
      <c r="K43" s="32">
        <v>9941252</v>
      </c>
      <c r="L43" s="32">
        <v>10083490</v>
      </c>
      <c r="M43" s="32">
        <v>10226505</v>
      </c>
      <c r="N43" s="40"/>
    </row>
    <row r="44" spans="1:14" s="32" customFormat="1">
      <c r="A44" s="31" t="s">
        <v>38</v>
      </c>
      <c r="B44" s="31">
        <v>13317603</v>
      </c>
      <c r="C44" s="31">
        <v>13462972</v>
      </c>
      <c r="D44" s="31">
        <v>13627844</v>
      </c>
      <c r="E44" s="31">
        <v>13789743</v>
      </c>
      <c r="F44" s="31">
        <v>13934722</v>
      </c>
      <c r="G44" s="31">
        <v>14102124</v>
      </c>
      <c r="H44" s="31">
        <v>14278170</v>
      </c>
      <c r="I44" s="31">
        <v>14452720</v>
      </c>
      <c r="J44" s="31">
        <v>14613301</v>
      </c>
      <c r="K44" s="31">
        <v>14758823</v>
      </c>
      <c r="L44" s="31">
        <v>14905498</v>
      </c>
      <c r="M44" s="99">
        <v>15064819</v>
      </c>
      <c r="N44" s="87"/>
    </row>
    <row r="45" spans="1:14" s="32" customFormat="1">
      <c r="A45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81"/>
      <c r="N45" s="87"/>
    </row>
    <row r="46" spans="1:14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4" ht="21">
      <c r="A47" s="153" t="s">
        <v>89</v>
      </c>
      <c r="B47" s="156"/>
    </row>
    <row r="48" spans="1:14">
      <c r="A48" s="12" t="s">
        <v>0</v>
      </c>
      <c r="B48" s="28">
        <f>113241/31</f>
        <v>3652.9354838709678</v>
      </c>
    </row>
    <row r="49" spans="1:13">
      <c r="A49" s="12" t="s">
        <v>1</v>
      </c>
      <c r="B49" s="28">
        <f>109704/28</f>
        <v>3918</v>
      </c>
    </row>
    <row r="50" spans="1:13">
      <c r="A50" s="12" t="s">
        <v>2</v>
      </c>
      <c r="B50" s="28">
        <f>114084/31</f>
        <v>3680.1290322580644</v>
      </c>
    </row>
    <row r="51" spans="1:13">
      <c r="A51" s="12" t="s">
        <v>3</v>
      </c>
      <c r="B51" s="28">
        <f>112837/30</f>
        <v>3761.2333333333331</v>
      </c>
    </row>
    <row r="52" spans="1:13">
      <c r="A52" s="12" t="s">
        <v>4</v>
      </c>
      <c r="B52" s="28">
        <f>112534/31</f>
        <v>3630.1290322580644</v>
      </c>
    </row>
    <row r="53" spans="1:13">
      <c r="A53" s="12" t="s">
        <v>5</v>
      </c>
      <c r="B53" s="28">
        <f>114638/30</f>
        <v>3821.2666666666669</v>
      </c>
    </row>
    <row r="54" spans="1:13">
      <c r="A54" s="12" t="s">
        <v>6</v>
      </c>
      <c r="B54" s="28">
        <f>118766/31</f>
        <v>3831.1612903225805</v>
      </c>
    </row>
    <row r="55" spans="1:13">
      <c r="A55" s="12" t="s">
        <v>7</v>
      </c>
      <c r="B55" s="28">
        <f>120413/31</f>
        <v>3884.2903225806454</v>
      </c>
    </row>
    <row r="56" spans="1:13">
      <c r="A56" s="12" t="s">
        <v>8</v>
      </c>
      <c r="B56" s="28">
        <f>119094/30</f>
        <v>3969.8</v>
      </c>
    </row>
    <row r="57" spans="1:13">
      <c r="A57" s="12" t="s">
        <v>9</v>
      </c>
      <c r="B57" s="28">
        <f>119102/31</f>
        <v>3842</v>
      </c>
    </row>
    <row r="58" spans="1:13">
      <c r="A58" s="12" t="s">
        <v>10</v>
      </c>
      <c r="B58" s="28">
        <f>118770/30</f>
        <v>3959</v>
      </c>
    </row>
    <row r="59" spans="1:13">
      <c r="A59" s="12" t="s">
        <v>11</v>
      </c>
      <c r="B59" s="28">
        <f>120107/31</f>
        <v>3874.4193548387098</v>
      </c>
    </row>
    <row r="60" spans="1:13">
      <c r="A60" s="29"/>
      <c r="B60" s="29"/>
    </row>
    <row r="63" spans="1:13" ht="21">
      <c r="A63" s="25" t="s">
        <v>31</v>
      </c>
      <c r="B63" s="26">
        <v>44593</v>
      </c>
      <c r="C63" s="26">
        <v>44621</v>
      </c>
      <c r="D63" s="26">
        <v>44652</v>
      </c>
      <c r="E63" s="26">
        <v>44683</v>
      </c>
      <c r="F63" s="26">
        <v>44713</v>
      </c>
      <c r="G63" s="26">
        <v>44743</v>
      </c>
      <c r="H63" s="26">
        <v>44774</v>
      </c>
      <c r="I63" s="26">
        <v>44805</v>
      </c>
      <c r="J63" s="26">
        <v>44837</v>
      </c>
      <c r="K63" s="26">
        <v>44866</v>
      </c>
      <c r="L63" s="26">
        <v>44896</v>
      </c>
      <c r="M63" s="27">
        <v>44928</v>
      </c>
    </row>
    <row r="64" spans="1:13" s="2" customFormat="1">
      <c r="A64" s="23" t="s">
        <v>21</v>
      </c>
      <c r="B64" s="32">
        <v>191383</v>
      </c>
      <c r="C64" s="32">
        <v>195169</v>
      </c>
      <c r="D64" s="32">
        <v>196603</v>
      </c>
      <c r="E64" s="32">
        <v>201332</v>
      </c>
      <c r="F64" s="32">
        <v>202783</v>
      </c>
      <c r="G64" s="32">
        <v>207110</v>
      </c>
      <c r="H64" s="32">
        <v>223501</v>
      </c>
      <c r="I64" s="32">
        <v>233512</v>
      </c>
      <c r="J64" s="32">
        <v>240650</v>
      </c>
      <c r="K64" s="32">
        <v>247376</v>
      </c>
      <c r="L64" s="32">
        <v>250983</v>
      </c>
      <c r="M64" s="13">
        <v>249289</v>
      </c>
    </row>
    <row r="65" spans="1:13">
      <c r="A65" s="23" t="s">
        <v>22</v>
      </c>
      <c r="B65" s="32">
        <v>237531</v>
      </c>
      <c r="C65" s="32">
        <v>238489</v>
      </c>
      <c r="D65" s="32">
        <v>241602</v>
      </c>
      <c r="E65" s="32">
        <v>243661</v>
      </c>
      <c r="F65" s="32">
        <v>242373</v>
      </c>
      <c r="G65" s="32">
        <v>145333</v>
      </c>
      <c r="H65" s="32">
        <v>268185</v>
      </c>
      <c r="I65" s="32">
        <v>278530</v>
      </c>
      <c r="J65" s="32">
        <v>279195</v>
      </c>
      <c r="K65" s="32">
        <v>280587</v>
      </c>
      <c r="L65" s="32">
        <v>283594</v>
      </c>
      <c r="M65" s="13">
        <v>288407</v>
      </c>
    </row>
    <row r="66" spans="1:13">
      <c r="A66" s="24" t="s">
        <v>23</v>
      </c>
      <c r="B66" s="31">
        <v>12</v>
      </c>
      <c r="C66" s="31">
        <v>6</v>
      </c>
      <c r="D66" s="31">
        <v>7</v>
      </c>
      <c r="E66" s="31">
        <v>3</v>
      </c>
      <c r="F66" s="31">
        <v>2</v>
      </c>
      <c r="G66" s="31">
        <v>1</v>
      </c>
      <c r="H66" s="14">
        <v>3</v>
      </c>
      <c r="I66" s="14">
        <v>1</v>
      </c>
      <c r="J66" s="14">
        <v>1</v>
      </c>
      <c r="K66" s="14">
        <v>0</v>
      </c>
      <c r="L66" s="14">
        <v>0</v>
      </c>
      <c r="M66" s="15">
        <v>0</v>
      </c>
    </row>
    <row r="67" spans="1:13">
      <c r="A67" s="30"/>
    </row>
    <row r="69" spans="1:13" ht="21">
      <c r="A69" s="25" t="s">
        <v>30</v>
      </c>
      <c r="B69" s="52" t="s">
        <v>55</v>
      </c>
      <c r="C69" s="80"/>
    </row>
    <row r="70" spans="1:13">
      <c r="A70" s="30">
        <v>44593</v>
      </c>
      <c r="B70" s="13">
        <v>36.380000000000003</v>
      </c>
      <c r="C70" s="81"/>
    </row>
    <row r="71" spans="1:13">
      <c r="A71" s="30">
        <v>44621</v>
      </c>
      <c r="B71" s="13">
        <v>37.479999999999997</v>
      </c>
      <c r="C71" s="81"/>
    </row>
    <row r="72" spans="1:13">
      <c r="A72" s="30">
        <v>44652</v>
      </c>
      <c r="B72" s="13">
        <v>39.35</v>
      </c>
      <c r="C72" s="81"/>
    </row>
    <row r="73" spans="1:13">
      <c r="A73" s="30">
        <v>44683</v>
      </c>
      <c r="B73" s="13">
        <v>40.590000000000003</v>
      </c>
      <c r="C73" s="81"/>
    </row>
    <row r="74" spans="1:13">
      <c r="A74" s="30">
        <v>44714</v>
      </c>
      <c r="B74" s="13">
        <v>42.85</v>
      </c>
      <c r="C74" s="81"/>
    </row>
    <row r="75" spans="1:13">
      <c r="A75" s="30">
        <v>44743</v>
      </c>
      <c r="B75" s="13">
        <v>42.77</v>
      </c>
      <c r="C75" s="81"/>
    </row>
    <row r="76" spans="1:13">
      <c r="A76" s="30">
        <v>44775</v>
      </c>
      <c r="B76" s="13">
        <v>43.65</v>
      </c>
      <c r="C76" s="81"/>
    </row>
    <row r="77" spans="1:13">
      <c r="A77" s="30">
        <v>44805</v>
      </c>
      <c r="B77" s="13">
        <v>45.36</v>
      </c>
      <c r="C77" s="81"/>
    </row>
    <row r="78" spans="1:13">
      <c r="A78" s="30">
        <v>44841</v>
      </c>
      <c r="B78" s="13">
        <v>48.91</v>
      </c>
      <c r="C78" s="81"/>
    </row>
    <row r="79" spans="1:13">
      <c r="A79" s="30">
        <v>44866</v>
      </c>
      <c r="B79" s="13">
        <v>50.87</v>
      </c>
      <c r="C79" s="81"/>
    </row>
    <row r="80" spans="1:13">
      <c r="A80" s="30">
        <v>44896</v>
      </c>
      <c r="B80" s="13">
        <v>52.75</v>
      </c>
      <c r="C80" s="81"/>
    </row>
    <row r="81" spans="1:13">
      <c r="A81" s="84">
        <v>44928</v>
      </c>
      <c r="B81" s="15">
        <v>53.61</v>
      </c>
      <c r="C81" s="81"/>
    </row>
    <row r="85" spans="1:13" ht="21">
      <c r="A85" s="25" t="s">
        <v>63</v>
      </c>
      <c r="B85" s="26" t="s">
        <v>0</v>
      </c>
      <c r="C85" s="26" t="s">
        <v>1</v>
      </c>
      <c r="D85" s="26" t="s">
        <v>2</v>
      </c>
      <c r="E85" s="26" t="s">
        <v>3</v>
      </c>
      <c r="F85" s="26" t="s">
        <v>64</v>
      </c>
      <c r="G85" s="26" t="s">
        <v>5</v>
      </c>
      <c r="H85" s="26" t="s">
        <v>6</v>
      </c>
      <c r="I85" s="26" t="s">
        <v>7</v>
      </c>
      <c r="J85" s="26" t="s">
        <v>8</v>
      </c>
      <c r="K85" s="26" t="s">
        <v>9</v>
      </c>
      <c r="L85" s="26" t="s">
        <v>10</v>
      </c>
      <c r="M85" s="27" t="s">
        <v>11</v>
      </c>
    </row>
    <row r="86" spans="1:13" s="2" customFormat="1">
      <c r="A86" s="23" t="s">
        <v>21</v>
      </c>
      <c r="B86">
        <v>26657</v>
      </c>
      <c r="C86">
        <v>26608</v>
      </c>
      <c r="D86">
        <v>27334</v>
      </c>
      <c r="E86">
        <v>27641</v>
      </c>
      <c r="F86">
        <v>27764</v>
      </c>
      <c r="G86">
        <v>28144</v>
      </c>
      <c r="H86">
        <v>28443</v>
      </c>
      <c r="I86">
        <v>28561</v>
      </c>
      <c r="J86">
        <v>28387</v>
      </c>
      <c r="K86">
        <v>28587</v>
      </c>
      <c r="L86">
        <v>28505</v>
      </c>
      <c r="M86" s="13">
        <v>28765</v>
      </c>
    </row>
    <row r="87" spans="1:13">
      <c r="A87" s="95" t="s">
        <v>22</v>
      </c>
      <c r="B87" s="81">
        <v>57131</v>
      </c>
      <c r="C87" s="81">
        <v>55101</v>
      </c>
      <c r="D87" s="81">
        <v>56822</v>
      </c>
      <c r="E87" s="98">
        <v>55918</v>
      </c>
      <c r="F87" s="98">
        <v>54956</v>
      </c>
      <c r="G87" s="98">
        <v>56111</v>
      </c>
      <c r="H87" s="98">
        <v>56637</v>
      </c>
      <c r="I87" s="98">
        <v>56337</v>
      </c>
      <c r="J87" s="98">
        <v>55031</v>
      </c>
      <c r="K87" s="98">
        <v>54729</v>
      </c>
      <c r="L87" s="98">
        <v>54345</v>
      </c>
      <c r="M87" s="13">
        <v>54805</v>
      </c>
    </row>
    <row r="88" spans="1:13" s="81" customFormat="1">
      <c r="A88" s="24" t="s">
        <v>73</v>
      </c>
      <c r="B88" s="14">
        <v>2010</v>
      </c>
      <c r="C88" s="14">
        <v>1907</v>
      </c>
      <c r="D88" s="14">
        <v>1962</v>
      </c>
      <c r="E88" s="14">
        <v>2037</v>
      </c>
      <c r="F88" s="14">
        <v>1958</v>
      </c>
      <c r="G88" s="14">
        <v>1962</v>
      </c>
      <c r="H88" s="14">
        <v>1995</v>
      </c>
      <c r="I88" s="14">
        <v>2188</v>
      </c>
      <c r="J88" s="14">
        <v>2097</v>
      </c>
      <c r="K88" s="14">
        <v>2107</v>
      </c>
      <c r="L88" s="14">
        <v>2131</v>
      </c>
      <c r="M88" s="15">
        <v>2147</v>
      </c>
    </row>
    <row r="89" spans="1:13">
      <c r="A89" s="30"/>
    </row>
  </sheetData>
  <mergeCells count="3">
    <mergeCell ref="A1:M1"/>
    <mergeCell ref="A25:N26"/>
    <mergeCell ref="A47:B4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D1" zoomScale="80" zoomScaleNormal="80" workbookViewId="0">
      <selection activeCell="P8" sqref="P8"/>
    </sheetView>
  </sheetViews>
  <sheetFormatPr defaultRowHeight="15"/>
  <cols>
    <col min="1" max="1" width="30.28515625" bestFit="1" customWidth="1"/>
    <col min="2" max="3" width="11.28515625" bestFit="1" customWidth="1"/>
    <col min="4" max="4" width="30.28515625" bestFit="1" customWidth="1"/>
    <col min="5" max="16" width="9.5703125" customWidth="1"/>
  </cols>
  <sheetData>
    <row r="1" spans="1:17" s="2" customFormat="1">
      <c r="A1" s="45"/>
      <c r="B1" s="45"/>
      <c r="C1" s="45"/>
      <c r="D1" s="45"/>
      <c r="E1" s="157" t="s">
        <v>91</v>
      </c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7">
      <c r="A2" s="46" t="s">
        <v>47</v>
      </c>
      <c r="B2" s="46" t="s">
        <v>45</v>
      </c>
      <c r="C2" s="46" t="s">
        <v>46</v>
      </c>
      <c r="D2" s="46" t="s">
        <v>44</v>
      </c>
      <c r="E2" s="47" t="s">
        <v>0</v>
      </c>
      <c r="F2" s="48" t="s">
        <v>1</v>
      </c>
      <c r="G2" s="48" t="s">
        <v>2</v>
      </c>
      <c r="H2" s="48" t="s">
        <v>3</v>
      </c>
      <c r="I2" s="48" t="s">
        <v>4</v>
      </c>
      <c r="J2" s="48" t="s">
        <v>5</v>
      </c>
      <c r="K2" s="48" t="s">
        <v>6</v>
      </c>
      <c r="L2" s="48" t="s">
        <v>7</v>
      </c>
      <c r="M2" s="48" t="s">
        <v>8</v>
      </c>
      <c r="N2" s="48" t="s">
        <v>9</v>
      </c>
      <c r="O2" s="48" t="s">
        <v>10</v>
      </c>
      <c r="P2" s="49" t="s">
        <v>11</v>
      </c>
      <c r="Q2" s="82" t="s">
        <v>67</v>
      </c>
    </row>
    <row r="3" spans="1:17">
      <c r="A3" t="s">
        <v>51</v>
      </c>
      <c r="B3" s="30">
        <v>43440</v>
      </c>
      <c r="C3" s="30">
        <v>43805</v>
      </c>
      <c r="D3" t="s">
        <v>48</v>
      </c>
      <c r="E3" s="158">
        <v>8323</v>
      </c>
      <c r="F3" s="158">
        <v>8266</v>
      </c>
      <c r="G3" s="158">
        <v>16429</v>
      </c>
      <c r="H3" s="158">
        <v>17080</v>
      </c>
      <c r="I3" s="158">
        <v>15746</v>
      </c>
      <c r="J3" s="158">
        <v>19673</v>
      </c>
      <c r="K3" s="158">
        <v>18247</v>
      </c>
      <c r="L3" s="158">
        <v>18875</v>
      </c>
      <c r="M3" s="158">
        <v>16671</v>
      </c>
      <c r="N3" s="158">
        <v>16355</v>
      </c>
      <c r="O3" s="158">
        <v>14906</v>
      </c>
      <c r="P3" s="158">
        <v>14562</v>
      </c>
      <c r="Q3" s="160">
        <f>SUM(E3:P5)</f>
        <v>185133</v>
      </c>
    </row>
    <row r="4" spans="1:17">
      <c r="A4" t="s">
        <v>52</v>
      </c>
      <c r="B4" s="30">
        <v>43454</v>
      </c>
      <c r="C4" s="30">
        <v>43819</v>
      </c>
      <c r="D4" t="s">
        <v>48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spans="1:17">
      <c r="A5" t="s">
        <v>54</v>
      </c>
      <c r="B5" s="30">
        <v>43827</v>
      </c>
      <c r="C5" s="30">
        <v>43827</v>
      </c>
      <c r="D5" t="s">
        <v>50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60"/>
    </row>
    <row r="6" spans="1:17">
      <c r="A6" t="s">
        <v>53</v>
      </c>
      <c r="B6" s="30">
        <v>43454</v>
      </c>
      <c r="C6" s="30">
        <v>43819</v>
      </c>
      <c r="D6" t="s">
        <v>49</v>
      </c>
      <c r="E6" s="53">
        <v>4313</v>
      </c>
      <c r="F6" s="53">
        <v>7838</v>
      </c>
      <c r="G6" s="53">
        <v>10603</v>
      </c>
      <c r="H6" s="53">
        <v>8741</v>
      </c>
      <c r="I6" s="53">
        <v>8304</v>
      </c>
      <c r="J6" s="53">
        <v>8301</v>
      </c>
      <c r="K6" s="53">
        <v>8591</v>
      </c>
      <c r="L6" s="53">
        <v>9559</v>
      </c>
      <c r="M6" s="53">
        <v>8581</v>
      </c>
      <c r="N6" s="53">
        <v>8278</v>
      </c>
      <c r="O6" s="53">
        <v>7356</v>
      </c>
      <c r="P6" s="53">
        <v>6832</v>
      </c>
      <c r="Q6" s="19">
        <f>SUM(E6:P6)</f>
        <v>97297</v>
      </c>
    </row>
    <row r="7" spans="1:17">
      <c r="D7" t="s">
        <v>65</v>
      </c>
      <c r="E7" s="83">
        <v>4062</v>
      </c>
      <c r="F7" s="83">
        <v>3464</v>
      </c>
      <c r="G7" s="101">
        <v>2975</v>
      </c>
      <c r="H7" s="101">
        <v>1893</v>
      </c>
      <c r="I7" s="101">
        <v>1574</v>
      </c>
      <c r="J7" s="101">
        <v>1465</v>
      </c>
      <c r="K7" s="101">
        <v>1489</v>
      </c>
      <c r="L7" s="101">
        <v>1403</v>
      </c>
      <c r="M7" s="101">
        <v>1164</v>
      </c>
      <c r="N7" s="101">
        <v>1010</v>
      </c>
      <c r="O7" s="101">
        <v>2475</v>
      </c>
      <c r="P7" s="101">
        <v>3355</v>
      </c>
      <c r="Q7" s="19">
        <f>SUM(E7:P7)</f>
        <v>26329</v>
      </c>
    </row>
    <row r="8" spans="1:17">
      <c r="D8" t="s">
        <v>67</v>
      </c>
      <c r="E8" s="19">
        <f t="shared" ref="E8:J8" si="0">SUM(E3:E7)</f>
        <v>16698</v>
      </c>
      <c r="F8" s="19">
        <f t="shared" si="0"/>
        <v>19568</v>
      </c>
      <c r="G8" s="19">
        <f t="shared" si="0"/>
        <v>30007</v>
      </c>
      <c r="H8" s="19">
        <f t="shared" si="0"/>
        <v>27714</v>
      </c>
      <c r="I8" s="19">
        <f t="shared" si="0"/>
        <v>25624</v>
      </c>
      <c r="J8" s="19">
        <f t="shared" si="0"/>
        <v>29439</v>
      </c>
      <c r="K8" s="19">
        <f t="shared" ref="K8:Q8" si="1">SUM(K3:K7)</f>
        <v>28327</v>
      </c>
      <c r="L8" s="19">
        <f t="shared" si="1"/>
        <v>29837</v>
      </c>
      <c r="M8" s="19">
        <f t="shared" si="1"/>
        <v>26416</v>
      </c>
      <c r="N8" s="19">
        <f t="shared" si="1"/>
        <v>25643</v>
      </c>
      <c r="O8" s="19">
        <f t="shared" si="1"/>
        <v>24737</v>
      </c>
      <c r="P8" s="19">
        <f t="shared" si="1"/>
        <v>24749</v>
      </c>
      <c r="Q8" s="19">
        <f t="shared" si="1"/>
        <v>308759</v>
      </c>
    </row>
  </sheetData>
  <mergeCells count="14">
    <mergeCell ref="Q3:Q5"/>
    <mergeCell ref="M3:M5"/>
    <mergeCell ref="N3:N5"/>
    <mergeCell ref="O3:O5"/>
    <mergeCell ref="P3:P5"/>
    <mergeCell ref="E1:P1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Infographic</vt:lpstr>
      <vt:lpstr>OverDrive Statistics</vt:lpstr>
      <vt:lpstr>Simultaneous Use Circ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2023-02-01T13:57:00Z</dcterms:modified>
</cp:coreProperties>
</file>